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12" windowWidth="11340" windowHeight="9696" firstSheet="29" activeTab="34"/>
  </bookViews>
  <sheets>
    <sheet name="Лист40" sheetId="45" r:id="rId1"/>
    <sheet name="Excalibur" sheetId="44" r:id="rId2"/>
    <sheet name="Rus bullet" sheetId="43" r:id="rId3"/>
    <sheet name="Rus brick" sheetId="42" r:id="rId4"/>
    <sheet name="Rus HUB" sheetId="41" r:id="rId5"/>
    <sheet name="Rus Axle" sheetId="40" r:id="rId6"/>
    <sheet name="Rus Roullette" sheetId="39" r:id="rId7"/>
    <sheet name="AWPC НЖ 1_2 вес" sheetId="38" r:id="rId8"/>
    <sheet name="WPC НЖ 1_2 вес" sheetId="37" r:id="rId9"/>
    <sheet name="AWPC НЖ 1 вес" sheetId="36" r:id="rId10"/>
    <sheet name="WPC НЖ 1 вес" sheetId="35" r:id="rId11"/>
    <sheet name="WPC стр. под.на биц" sheetId="34" r:id="rId12"/>
    <sheet name="AWPC стр. под.на биц" sheetId="33" r:id="rId13"/>
    <sheet name="AWPC мн.слой тяга" sheetId="32" r:id="rId14"/>
    <sheet name="AWPC 1 слой тяга" sheetId="31" r:id="rId15"/>
    <sheet name="AWPC б_э тяга" sheetId="30" r:id="rId16"/>
    <sheet name="WPC мн.слой тяга" sheetId="29" r:id="rId17"/>
    <sheet name="WPC 1 слой тяга" sheetId="28" r:id="rId18"/>
    <sheet name="WPC б_э тяга" sheetId="27" r:id="rId19"/>
    <sheet name="AWPC мн. софт эк. жим" sheetId="26" r:id="rId20"/>
    <sheet name="AWPC ст. софт эк. жим" sheetId="25" r:id="rId21"/>
    <sheet name="AWPC мн.слой жим" sheetId="24" r:id="rId22"/>
    <sheet name="AWPC 1 слой жим" sheetId="23" r:id="rId23"/>
    <sheet name="WPC жим стоя" sheetId="22" r:id="rId24"/>
    <sheet name="AWPC жим стоя" sheetId="21" r:id="rId25"/>
    <sheet name="AWPC б_э жим" sheetId="20" r:id="rId26"/>
    <sheet name="AWPC мн.слой ПЛ" sheetId="19" r:id="rId27"/>
    <sheet name="AWPC 1 слой ПЛ" sheetId="18" r:id="rId28"/>
    <sheet name="AWPC Класс. ПЛ" sheetId="17" r:id="rId29"/>
    <sheet name="AWPC б_э ПЛ" sheetId="16" r:id="rId30"/>
    <sheet name="WPC мн. софт эк. жим" sheetId="15" r:id="rId31"/>
    <sheet name="WPC ст. софт эк. жим" sheetId="14" r:id="rId32"/>
    <sheet name="WPC мн.слой жим" sheetId="13" r:id="rId33"/>
    <sheet name="WPC 1 слой жим" sheetId="12" r:id="rId34"/>
    <sheet name="WPC б_э жим" sheetId="11" r:id="rId35"/>
    <sheet name="WPC мн.слой ПЛ" sheetId="10" r:id="rId36"/>
    <sheet name="WPC 1 слой ПЛ" sheetId="9" r:id="rId37"/>
    <sheet name="WPC класс. ПЛ" sheetId="8" r:id="rId38"/>
    <sheet name="WPC б_э ПЛ" sheetId="7" r:id="rId39"/>
    <sheet name="AWPC софт ПЛ" sheetId="6" r:id="rId40"/>
    <sheet name="WPC софт ПЛ" sheetId="5" r:id="rId41"/>
  </sheets>
  <definedNames>
    <definedName name="_FilterDatabase" localSheetId="40" hidden="1">'WPC софт ПЛ'!$A$1:$S$3</definedName>
  </definedNames>
  <calcPr calcId="144525" refMode="R1C1"/>
</workbook>
</file>

<file path=xl/calcChain.xml><?xml version="1.0" encoding="utf-8"?>
<calcChain xmlns="http://schemas.openxmlformats.org/spreadsheetml/2006/main">
  <c r="L7" i="44" l="1"/>
  <c r="K7" i="44"/>
  <c r="D7" i="44"/>
  <c r="L6" i="44"/>
  <c r="K6" i="44"/>
  <c r="D6" i="44"/>
  <c r="L13" i="40"/>
  <c r="K13" i="40"/>
  <c r="D13" i="40"/>
  <c r="L12" i="40"/>
  <c r="K12" i="40"/>
  <c r="D12" i="40"/>
  <c r="L9" i="40"/>
  <c r="K9" i="40"/>
  <c r="D9" i="40"/>
  <c r="L6" i="40"/>
  <c r="K6" i="40"/>
  <c r="D6" i="40"/>
  <c r="L7" i="39"/>
  <c r="K7" i="39"/>
  <c r="D7" i="39"/>
  <c r="L6" i="39"/>
  <c r="K6" i="39"/>
  <c r="D6" i="39"/>
  <c r="J7" i="38"/>
  <c r="I7" i="38"/>
  <c r="D7" i="38"/>
  <c r="J6" i="38"/>
  <c r="I6" i="38"/>
  <c r="D6" i="38"/>
  <c r="J17" i="36"/>
  <c r="I17" i="36"/>
  <c r="D17" i="36"/>
  <c r="J16" i="36"/>
  <c r="I16" i="36"/>
  <c r="D16" i="36"/>
  <c r="J13" i="36"/>
  <c r="I13" i="36"/>
  <c r="D13" i="36"/>
  <c r="J10" i="36"/>
  <c r="I10" i="36"/>
  <c r="D10" i="36"/>
  <c r="J7" i="36"/>
  <c r="I7" i="36"/>
  <c r="D7" i="36"/>
  <c r="J6" i="36"/>
  <c r="I6" i="36"/>
  <c r="D6" i="36"/>
  <c r="J10" i="35"/>
  <c r="I10" i="35"/>
  <c r="D10" i="35"/>
  <c r="J9" i="35"/>
  <c r="I9" i="35"/>
  <c r="D9" i="35"/>
  <c r="J6" i="35"/>
  <c r="I6" i="35"/>
  <c r="D6" i="35"/>
  <c r="L19" i="33"/>
  <c r="K19" i="33"/>
  <c r="D19" i="33"/>
  <c r="L16" i="33"/>
  <c r="K16" i="33"/>
  <c r="D16" i="33"/>
  <c r="L13" i="33"/>
  <c r="K13" i="33"/>
  <c r="D13" i="33"/>
  <c r="L10" i="33"/>
  <c r="K10" i="33"/>
  <c r="D10" i="33"/>
  <c r="L9" i="33"/>
  <c r="K9" i="33"/>
  <c r="D9" i="33"/>
  <c r="L6" i="33"/>
  <c r="K6" i="33"/>
  <c r="D6" i="33"/>
  <c r="L8" i="32"/>
  <c r="K8" i="32"/>
  <c r="D8" i="32"/>
  <c r="L7" i="32"/>
  <c r="K7" i="32"/>
  <c r="D7" i="32"/>
  <c r="L6" i="32"/>
  <c r="K6" i="32"/>
  <c r="D6" i="32"/>
  <c r="L26" i="30"/>
  <c r="K26" i="30"/>
  <c r="D26" i="30"/>
  <c r="L23" i="30"/>
  <c r="K23" i="30"/>
  <c r="D23" i="30"/>
  <c r="L20" i="30"/>
  <c r="K20" i="30"/>
  <c r="D20" i="30"/>
  <c r="L19" i="30"/>
  <c r="K19" i="30"/>
  <c r="D19" i="30"/>
  <c r="L18" i="30"/>
  <c r="K18" i="30"/>
  <c r="D18" i="30"/>
  <c r="L15" i="30"/>
  <c r="K15" i="30"/>
  <c r="D15" i="30"/>
  <c r="L12" i="30"/>
  <c r="K12" i="30"/>
  <c r="D12" i="30"/>
  <c r="L9" i="30"/>
  <c r="K9" i="30"/>
  <c r="D9" i="30"/>
  <c r="L6" i="30"/>
  <c r="K6" i="30"/>
  <c r="D6" i="30"/>
  <c r="L12" i="27"/>
  <c r="K12" i="27"/>
  <c r="D12" i="27"/>
  <c r="L9" i="27"/>
  <c r="K9" i="27"/>
  <c r="D9" i="27"/>
  <c r="L6" i="27"/>
  <c r="K6" i="27"/>
  <c r="D6" i="27"/>
  <c r="L25" i="25"/>
  <c r="K25" i="25"/>
  <c r="D25" i="25"/>
  <c r="L24" i="25"/>
  <c r="K24" i="25"/>
  <c r="D24" i="25"/>
  <c r="L21" i="25"/>
  <c r="K21" i="25"/>
  <c r="D21" i="25"/>
  <c r="L18" i="25"/>
  <c r="K18" i="25"/>
  <c r="D18" i="25"/>
  <c r="L15" i="25"/>
  <c r="K15" i="25"/>
  <c r="D15" i="25"/>
  <c r="L14" i="25"/>
  <c r="K14" i="25"/>
  <c r="D14" i="25"/>
  <c r="L13" i="25"/>
  <c r="K13" i="25"/>
  <c r="D13" i="25"/>
  <c r="L10" i="25"/>
  <c r="K10" i="25"/>
  <c r="D10" i="25"/>
  <c r="L7" i="25"/>
  <c r="K7" i="25"/>
  <c r="D7" i="25"/>
  <c r="L6" i="25"/>
  <c r="K6" i="25"/>
  <c r="D6" i="25"/>
  <c r="L43" i="20"/>
  <c r="K43" i="20"/>
  <c r="D43" i="20"/>
  <c r="L40" i="20"/>
  <c r="K40" i="20"/>
  <c r="D40" i="20"/>
  <c r="L39" i="20"/>
  <c r="K39" i="20"/>
  <c r="D39" i="20"/>
  <c r="L38" i="20"/>
  <c r="K38" i="20"/>
  <c r="D38" i="20"/>
  <c r="L37" i="20"/>
  <c r="K37" i="20"/>
  <c r="D37" i="20"/>
  <c r="L34" i="20"/>
  <c r="K34" i="20"/>
  <c r="D34" i="20"/>
  <c r="L33" i="20"/>
  <c r="K33" i="20"/>
  <c r="D33" i="20"/>
  <c r="L30" i="20"/>
  <c r="K30" i="20"/>
  <c r="D30" i="20"/>
  <c r="L27" i="20"/>
  <c r="K27" i="20"/>
  <c r="D27" i="20"/>
  <c r="L26" i="20"/>
  <c r="K26" i="20"/>
  <c r="D26" i="20"/>
  <c r="L23" i="20"/>
  <c r="K23" i="20"/>
  <c r="D23" i="20"/>
  <c r="L20" i="20"/>
  <c r="K20" i="20"/>
  <c r="D20" i="20"/>
  <c r="L17" i="20"/>
  <c r="K17" i="20"/>
  <c r="D17" i="20"/>
  <c r="L16" i="20"/>
  <c r="K16" i="20"/>
  <c r="D16" i="20"/>
  <c r="L15" i="20"/>
  <c r="K15" i="20"/>
  <c r="D15" i="20"/>
  <c r="L12" i="20"/>
  <c r="K12" i="20"/>
  <c r="D12" i="20"/>
  <c r="L9" i="20"/>
  <c r="K9" i="20"/>
  <c r="D9" i="20"/>
  <c r="L6" i="20"/>
  <c r="K6" i="20"/>
  <c r="D6" i="20"/>
  <c r="T6" i="19"/>
  <c r="S6" i="19"/>
  <c r="D6" i="19"/>
  <c r="T12" i="17"/>
  <c r="S12" i="17"/>
  <c r="D12" i="17"/>
  <c r="T9" i="17"/>
  <c r="S9" i="17"/>
  <c r="D9" i="17"/>
  <c r="T6" i="17"/>
  <c r="S6" i="17"/>
  <c r="D6" i="17"/>
  <c r="T9" i="16"/>
  <c r="S9" i="16"/>
  <c r="D9" i="16"/>
  <c r="T6" i="16"/>
  <c r="S6" i="16"/>
  <c r="D6" i="16"/>
  <c r="L9" i="14"/>
  <c r="K9" i="14"/>
  <c r="D9" i="14"/>
  <c r="L6" i="14"/>
  <c r="K6" i="14"/>
  <c r="D6" i="14"/>
  <c r="L7" i="11"/>
  <c r="K7" i="11"/>
  <c r="D7" i="11"/>
  <c r="L6" i="11"/>
  <c r="K6" i="11"/>
  <c r="D6" i="11"/>
  <c r="T6" i="8"/>
  <c r="S6" i="8"/>
  <c r="D6" i="8"/>
  <c r="T19" i="7"/>
  <c r="S19" i="7"/>
  <c r="D19" i="7"/>
  <c r="T16" i="7"/>
  <c r="S16" i="7"/>
  <c r="D16" i="7"/>
  <c r="T15" i="7"/>
  <c r="S15" i="7"/>
  <c r="D15" i="7"/>
  <c r="T12" i="7"/>
  <c r="S12" i="7"/>
  <c r="D12" i="7"/>
  <c r="T9" i="7"/>
  <c r="S9" i="7"/>
  <c r="D9" i="7"/>
  <c r="T6" i="7"/>
  <c r="S6" i="7"/>
  <c r="D6" i="7"/>
</calcChain>
</file>

<file path=xl/sharedStrings.xml><?xml version="1.0" encoding="utf-8"?>
<sst xmlns="http://schemas.openxmlformats.org/spreadsheetml/2006/main" count="2369" uniqueCount="513">
  <si>
    <t>ФИО</t>
  </si>
  <si>
    <t>Сумма</t>
  </si>
  <si>
    <t>Тренер</t>
  </si>
  <si>
    <t>Очки</t>
  </si>
  <si>
    <t>Команда</t>
  </si>
  <si>
    <t>Рек</t>
  </si>
  <si>
    <t>Коэф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</si>
  <si>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</si>
  <si>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</si>
  <si>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</si>
  <si>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</si>
  <si>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</si>
  <si>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Открытый Кубок Восточной Европы «VIII КУБОК СВАРОГА WPC/AWPC/WAA-2021”
WPC пауэрлифтинг в софт экипировке
Курск/Курская область 19 - 20 марта 2021 г.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</si>
  <si>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</si>
  <si>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</si>
  <si>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</si>
  <si>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</si>
  <si>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</si>
  <si>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</si>
  <si>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Открытый Кубок Восточной Европы «VIII КУБОК СВАРОГА WPC/AWPC/WAA-2021”
AWPC пауэрлифтинг в софт экипировке
Курск/Курская область 19 - 20 марта 2021 г.</t>
  </si>
  <si>
    <t>Открытый Кубок Восточной Европы «VIII КУБОК СВАРОГА WPC/AWPC/WAA-2021”
WPC пауэрлифтинг без экипировки
Курск/Курская область 19 - 20 марта 2021 г.</t>
  </si>
  <si>
    <t>Gloss</t>
  </si>
  <si>
    <t>Приседание</t>
  </si>
  <si>
    <t>Жим лёжа</t>
  </si>
  <si>
    <t>Становая тяга</t>
  </si>
  <si>
    <t>ВЕСОВАЯ КАТЕГОРИЯ   60</t>
  </si>
  <si>
    <t>Фоменко Екатерина</t>
  </si>
  <si>
    <t>1. Фоменко Екатерина</t>
  </si>
  <si>
    <t>Открытая (20.11.1989)/31</t>
  </si>
  <si>
    <t>58,80</t>
  </si>
  <si>
    <t xml:space="preserve">Белгородская область </t>
  </si>
  <si>
    <t xml:space="preserve">Белгород/Белгородская область </t>
  </si>
  <si>
    <t>60,0</t>
  </si>
  <si>
    <t>75,0</t>
  </si>
  <si>
    <t>85,0</t>
  </si>
  <si>
    <t>40,0</t>
  </si>
  <si>
    <t>55,0</t>
  </si>
  <si>
    <t>90,0</t>
  </si>
  <si>
    <t>105,0</t>
  </si>
  <si>
    <t>110,0</t>
  </si>
  <si>
    <t xml:space="preserve"> </t>
  </si>
  <si>
    <t>ВЕСОВАЯ КАТЕГОРИЯ   67.5</t>
  </si>
  <si>
    <t>Цуканова Александра</t>
  </si>
  <si>
    <t>1. Цуканова Александра</t>
  </si>
  <si>
    <t>Открытая (01.12.1986)/34</t>
  </si>
  <si>
    <t>65,50</t>
  </si>
  <si>
    <t>82,5</t>
  </si>
  <si>
    <t>115,0</t>
  </si>
  <si>
    <t>ВЕСОВАЯ КАТЕГОРИЯ   82.5</t>
  </si>
  <si>
    <t>Бородин Сергей</t>
  </si>
  <si>
    <t>1. Бородин Сергей</t>
  </si>
  <si>
    <t>Открытая (10.08.1980)/40</t>
  </si>
  <si>
    <t>82,30</t>
  </si>
  <si>
    <t xml:space="preserve">лично </t>
  </si>
  <si>
    <t xml:space="preserve">Воронеж/Воронежская область </t>
  </si>
  <si>
    <t>185,0</t>
  </si>
  <si>
    <t>195,0</t>
  </si>
  <si>
    <t>205,0</t>
  </si>
  <si>
    <t>145,0</t>
  </si>
  <si>
    <t>150,0</t>
  </si>
  <si>
    <t>155,0</t>
  </si>
  <si>
    <t>250,0</t>
  </si>
  <si>
    <t>260,0</t>
  </si>
  <si>
    <t>ВЕСОВАЯ КАТЕГОРИЯ   100</t>
  </si>
  <si>
    <t>Канаев Артем</t>
  </si>
  <si>
    <t>1. Канаев Артем</t>
  </si>
  <si>
    <t>Открытая (14.03.1994)/27</t>
  </si>
  <si>
    <t>97,20</t>
  </si>
  <si>
    <t xml:space="preserve">СПАРТА </t>
  </si>
  <si>
    <t xml:space="preserve">Железногорск/Курская область </t>
  </si>
  <si>
    <t>200,0</t>
  </si>
  <si>
    <t>215,0</t>
  </si>
  <si>
    <t>225,0</t>
  </si>
  <si>
    <t>165,0</t>
  </si>
  <si>
    <t>170,0</t>
  </si>
  <si>
    <t>175,0</t>
  </si>
  <si>
    <t>230,0</t>
  </si>
  <si>
    <t>245,0</t>
  </si>
  <si>
    <t>Гринев Дмитрий</t>
  </si>
  <si>
    <t>1. Гринев Дмитрий</t>
  </si>
  <si>
    <t>Ветераны 40 - 44 (16.05.1977)/43</t>
  </si>
  <si>
    <t>97,50</t>
  </si>
  <si>
    <t>220,0</t>
  </si>
  <si>
    <t>140,0</t>
  </si>
  <si>
    <t>240,0</t>
  </si>
  <si>
    <t>ВЕСОВАЯ КАТЕГОРИЯ   110</t>
  </si>
  <si>
    <t>Лындин Иван</t>
  </si>
  <si>
    <t>1. Лындин Иван</t>
  </si>
  <si>
    <t>Открытая (04.01.1993)/28</t>
  </si>
  <si>
    <t>107,30</t>
  </si>
  <si>
    <t>190,0</t>
  </si>
  <si>
    <t>160,0</t>
  </si>
  <si>
    <t>265,0</t>
  </si>
  <si>
    <t>270,0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</si>
  <si>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</si>
  <si>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</si>
  <si>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</si>
  <si>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</si>
  <si>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</si>
  <si>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</si>
  <si>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Gloss </t>
  </si>
  <si>
    <t>60</t>
  </si>
  <si>
    <t>250,9250</t>
  </si>
  <si>
    <t>67.5</t>
  </si>
  <si>
    <t>252,5</t>
  </si>
  <si>
    <t>232,5778</t>
  </si>
  <si>
    <t xml:space="preserve">Мужчины </t>
  </si>
  <si>
    <t>82.5</t>
  </si>
  <si>
    <t>590,0</t>
  </si>
  <si>
    <t>380,9040</t>
  </si>
  <si>
    <t>100</t>
  </si>
  <si>
    <t>630,0</t>
  </si>
  <si>
    <t>370,7865</t>
  </si>
  <si>
    <t>110</t>
  </si>
  <si>
    <t>650,0</t>
  </si>
  <si>
    <t>368,3225</t>
  </si>
  <si>
    <t xml:space="preserve">Ветераны </t>
  </si>
  <si>
    <t xml:space="preserve">Ветераны 40 - 44 </t>
  </si>
  <si>
    <t>635,0</t>
  </si>
  <si>
    <t>384,7911</t>
  </si>
  <si>
    <t>Открытый Кубок Восточной Европы «VIII КУБОК СВАРОГА WPC/AWPC/WAA-2021”
WPC классичесический пауэрлифтинг
Курск/Курская область 19 - 20 марта 2021 г.</t>
  </si>
  <si>
    <t>ВЕСОВАЯ КАТЕГОРИЯ   90</t>
  </si>
  <si>
    <t>Ефремочкин Николай</t>
  </si>
  <si>
    <t>1. Ефремочкин Николай</t>
  </si>
  <si>
    <t>Открытая (08.09.1994)/26</t>
  </si>
  <si>
    <t>89,50</t>
  </si>
  <si>
    <t xml:space="preserve">Брянск/Брянская область </t>
  </si>
  <si>
    <t>210,0</t>
  </si>
  <si>
    <t>135,0</t>
  </si>
  <si>
    <t>90</t>
  </si>
  <si>
    <t>386,6625</t>
  </si>
  <si>
    <t>Открытый Кубок Восточной Европы «VIII КУБОК СВАРОГА WPC/AWPC/WAA-2021”
WPC пауэрлифтинг в однослойной экипировке
Курск/Курская область 19 - 20 марта 2021 г.</t>
  </si>
  <si>
    <t>Открытый Кубок Восточной Европы «VIII КУБОК СВАРОГА WPC/AWPC/WAA-2021”
WPC пауэрлифтинг в многослойной экипировке
Курск/Курская область 19 - 20 марта 2021 г.</t>
  </si>
  <si>
    <t>Открытый Кубок Восточной Европы «VIII КУБОК СВАРОГА WPC/AWPC/WAA-2021”
WPC жим лежа без экипировки
Курск/Курская область 19 - 20 марта 2021 г.</t>
  </si>
  <si>
    <t>Новожилов Алексей</t>
  </si>
  <si>
    <t>1. Новожилов Алексей</t>
  </si>
  <si>
    <t>Открытая (28.03.1972)/48</t>
  </si>
  <si>
    <t>105,70</t>
  </si>
  <si>
    <t xml:space="preserve">ЯМАЛ </t>
  </si>
  <si>
    <t xml:space="preserve">Новый Уренгой/Ямало-Ненецкий авт. окр. </t>
  </si>
  <si>
    <t>197,5</t>
  </si>
  <si>
    <t>Ветераны 45 - 49 (28.03.1972)/48</t>
  </si>
  <si>
    <t xml:space="preserve">Результат </t>
  </si>
  <si>
    <t>105,3390</t>
  </si>
  <si>
    <t xml:space="preserve">Ветераны 45 - 49 </t>
  </si>
  <si>
    <t>115,5569</t>
  </si>
  <si>
    <t>Результат</t>
  </si>
  <si>
    <t>Открытый Кубок Восточной Европы «VIII КУБОК СВАРОГА WPC/AWPC/WAA-2021”
WPC жим лежа в однослойной экипировке
Курск/Курская область 19 - 20 марта 2021 г.</t>
  </si>
  <si>
    <t>Открытый Кубок Восточной Европы «VIII КУБОК СВАРОГА WPC/AWPC/WAA-2021”
WPC жим лежа в многослойной экипировке
Курск/Курская область 19 - 20 марта 2021 г.</t>
  </si>
  <si>
    <t>Открытый Кубок Восточной Европы «VIII КУБОК СВАРОГА WPC/AWPC/WAA-2021”
WPC жим лежа в стандартной софт экипировке
Курск/Курская область 19 - 20 марта 2021 г.</t>
  </si>
  <si>
    <t>Гусейнов Сергей</t>
  </si>
  <si>
    <t>1. Гусейнов Сергей</t>
  </si>
  <si>
    <t>Открытая (01.02.1993)/28</t>
  </si>
  <si>
    <t>81,40</t>
  </si>
  <si>
    <t>272,5</t>
  </si>
  <si>
    <t>Анцышкин Сергей</t>
  </si>
  <si>
    <t>1. Анцышкин Сергей</t>
  </si>
  <si>
    <t>Открытая (23.02.1990)/31</t>
  </si>
  <si>
    <t>99,90</t>
  </si>
  <si>
    <t>280,0</t>
  </si>
  <si>
    <t>162,8340</t>
  </si>
  <si>
    <t>159,3113</t>
  </si>
  <si>
    <t>Открытый Кубок Восточной Европы «VIII КУБОК СВАРОГА WPC/AWPC/WAA-2021”
WPC жим лежа в многослойной софт экипировке
Курск/Курская область 19 - 20 марта 2021 г.</t>
  </si>
  <si>
    <t>Открытый Кубок Восточной Европы «VIII КУБОК СВАРОГА WPC/AWPC/WAA-2021”
AWPC пауэрлифтинг без экипировки
Курск/Курская область 19 - 20 марта 2021 г.</t>
  </si>
  <si>
    <t>ВЕСОВАЯ КАТЕГОРИЯ   52</t>
  </si>
  <si>
    <t>Лебедева Полина</t>
  </si>
  <si>
    <t>1. Лебедева Полина</t>
  </si>
  <si>
    <t>Девушки 18 - 19 (21.05.2002)/18</t>
  </si>
  <si>
    <t>51,90</t>
  </si>
  <si>
    <t>70,0</t>
  </si>
  <si>
    <t>30,0</t>
  </si>
  <si>
    <t>45,0</t>
  </si>
  <si>
    <t>80,0</t>
  </si>
  <si>
    <t>100,0</t>
  </si>
  <si>
    <t>Алиев Сергей</t>
  </si>
  <si>
    <t>1. Алиев Сергей</t>
  </si>
  <si>
    <t>Открытая (14.12.1989)/31</t>
  </si>
  <si>
    <t>89,30</t>
  </si>
  <si>
    <t>180,0</t>
  </si>
  <si>
    <t>125,0</t>
  </si>
  <si>
    <t>132,5</t>
  </si>
  <si>
    <t>137,5</t>
  </si>
  <si>
    <t xml:space="preserve">Девушки </t>
  </si>
  <si>
    <t xml:space="preserve">Юноши 18 - 19 </t>
  </si>
  <si>
    <t>52</t>
  </si>
  <si>
    <t>244,0460</t>
  </si>
  <si>
    <t>522,5</t>
  </si>
  <si>
    <t>321,1024</t>
  </si>
  <si>
    <t>Открытый Кубок Восточной Европы «VIII КУБОК СВАРОГА WPC/AWPC/WAA-2021”
AWPC классичесический пауэрлифтинг
Курск/Курская область 19 - 20 марта 2021 г.</t>
  </si>
  <si>
    <t>ВЕСОВАЯ КАТЕГОРИЯ   56</t>
  </si>
  <si>
    <t>Рюмшина Вероника</t>
  </si>
  <si>
    <t>1. Рюмшина Вероника</t>
  </si>
  <si>
    <t>Открытая (24.09.1983)/37</t>
  </si>
  <si>
    <t>53,00</t>
  </si>
  <si>
    <t xml:space="preserve">Курск/Курская область </t>
  </si>
  <si>
    <t>65,0</t>
  </si>
  <si>
    <t>77,5</t>
  </si>
  <si>
    <t>32,5</t>
  </si>
  <si>
    <t>37,5</t>
  </si>
  <si>
    <t>95,0</t>
  </si>
  <si>
    <t>Фомина Виктория</t>
  </si>
  <si>
    <t>1. Фомина Виктория</t>
  </si>
  <si>
    <t>Открытая (29.11.1996)/24</t>
  </si>
  <si>
    <t>59,90</t>
  </si>
  <si>
    <t xml:space="preserve">Носорог </t>
  </si>
  <si>
    <t>97,5</t>
  </si>
  <si>
    <t>102,5</t>
  </si>
  <si>
    <t>47,5</t>
  </si>
  <si>
    <t>ВЕСОВАЯ КАТЕГОРИЯ   75</t>
  </si>
  <si>
    <t>Макарова Диана</t>
  </si>
  <si>
    <t>1. Макарова Диана</t>
  </si>
  <si>
    <t>Девушки 13 - 15 (23.07.2005)/15</t>
  </si>
  <si>
    <t>75,00</t>
  </si>
  <si>
    <t xml:space="preserve">Олимп </t>
  </si>
  <si>
    <t xml:space="preserve">Рыльск/Курская область </t>
  </si>
  <si>
    <t>50,0</t>
  </si>
  <si>
    <t xml:space="preserve">Юноши 13 - 15 </t>
  </si>
  <si>
    <t>75</t>
  </si>
  <si>
    <t>209,0250</t>
  </si>
  <si>
    <t>247,5</t>
  </si>
  <si>
    <t>244,7528</t>
  </si>
  <si>
    <t>56</t>
  </si>
  <si>
    <t>234,5650</t>
  </si>
  <si>
    <t>Открытый Кубок Восточной Европы «VIII КУБОК СВАРОГА WPC/AWPC/WAA-2021”
AWPC пауэрлифтинг в однослойной экипировке
Курск/Курская область 19 - 20 марта 2021 г.</t>
  </si>
  <si>
    <t>Открытый Кубок Восточной Европы «VIII КУБОК СВАРОГА WPC/AWPC/WAA-2021”
AWPC пауэрлифтинг в многослойной экипировке
Курск/Курская область 19 - 20 марта 2021 г.</t>
  </si>
  <si>
    <t>Толмачева Ольга</t>
  </si>
  <si>
    <t>1. Толмачева Ольга</t>
  </si>
  <si>
    <t>Ветераны 40 - 44 (17.06.1980)/40</t>
  </si>
  <si>
    <t>72,60</t>
  </si>
  <si>
    <t>62,5</t>
  </si>
  <si>
    <t>67,5</t>
  </si>
  <si>
    <t>400,0</t>
  </si>
  <si>
    <t>341,8800</t>
  </si>
  <si>
    <t>Открытый Кубок Восточной Европы «VIII КУБОК СВАРОГА WPC/AWPC/WAA-2021”
AWPC жим лежа без экипировки
Курск/Курская область 19 - 20 марта 2021 г.</t>
  </si>
  <si>
    <t>Чернявская Татьяна</t>
  </si>
  <si>
    <t>1. Чернявская Татьяна</t>
  </si>
  <si>
    <t>Открытая (30.07.1995)/25</t>
  </si>
  <si>
    <t>50,40</t>
  </si>
  <si>
    <t>57,5</t>
  </si>
  <si>
    <t>Положай Инна</t>
  </si>
  <si>
    <t>1. Положай Инна</t>
  </si>
  <si>
    <t>Открытая (23.11.1990)/30</t>
  </si>
  <si>
    <t>56,00</t>
  </si>
  <si>
    <t>Печерская Мария</t>
  </si>
  <si>
    <t>1. Печерская Мария</t>
  </si>
  <si>
    <t>Открытая (07.07.1993)/27</t>
  </si>
  <si>
    <t>65,20</t>
  </si>
  <si>
    <t>Умеренкова Юлия</t>
  </si>
  <si>
    <t>1. Умеренкова Юлия</t>
  </si>
  <si>
    <t>Открытая (09.12.1980)/40</t>
  </si>
  <si>
    <t>72,40</t>
  </si>
  <si>
    <t xml:space="preserve">Умеренков  И.Ю. </t>
  </si>
  <si>
    <t>Ветераны 40 - 44 (09.12.1980)/40</t>
  </si>
  <si>
    <t>Перова Галина</t>
  </si>
  <si>
    <t>1. Перова Галина</t>
  </si>
  <si>
    <t>Ветераны 50 - 54 (29.06.1970)/50</t>
  </si>
  <si>
    <t>73,00</t>
  </si>
  <si>
    <t>Волкова Екатерина</t>
  </si>
  <si>
    <t>1. Волкова Екатерина</t>
  </si>
  <si>
    <t>Открытая (10.10.1990)/30</t>
  </si>
  <si>
    <t>75,90</t>
  </si>
  <si>
    <t>Замыцкая Надежда</t>
  </si>
  <si>
    <t>1. Замыцкая Надежда</t>
  </si>
  <si>
    <t>Девушки 13 - 15 (16.09.2008)/12</t>
  </si>
  <si>
    <t>89,60</t>
  </si>
  <si>
    <t>35,0</t>
  </si>
  <si>
    <t>Белый Гордей</t>
  </si>
  <si>
    <t>1. Белый Гордей</t>
  </si>
  <si>
    <t>Открытая (23.11.2002)/18</t>
  </si>
  <si>
    <t>66,50</t>
  </si>
  <si>
    <t xml:space="preserve">Алексеевка/Белгородская область </t>
  </si>
  <si>
    <t>130,0</t>
  </si>
  <si>
    <t>Калашницын Антон</t>
  </si>
  <si>
    <t>1. Калашницын Антон</t>
  </si>
  <si>
    <t>Ветераны 40 - 44 (13.09.1980)/40</t>
  </si>
  <si>
    <t>66,60</t>
  </si>
  <si>
    <t xml:space="preserve">Благовещенск/Амурская область </t>
  </si>
  <si>
    <t>92,5</t>
  </si>
  <si>
    <t>Ковалев Илья</t>
  </si>
  <si>
    <t>1. Ковалев Илья</t>
  </si>
  <si>
    <t>Юноши 18 - 19 (02.11.2001)/19</t>
  </si>
  <si>
    <t>70,50</t>
  </si>
  <si>
    <t>Чернявский Тимофей</t>
  </si>
  <si>
    <t>1. Чернявский Тимофей</t>
  </si>
  <si>
    <t>Открытая (08.09.1985)/35</t>
  </si>
  <si>
    <t>80,90</t>
  </si>
  <si>
    <t>Кичигин Андрей</t>
  </si>
  <si>
    <t>2. Кичигин Андрей</t>
  </si>
  <si>
    <t>Открытая (13.01.1997)/24</t>
  </si>
  <si>
    <t>80,10</t>
  </si>
  <si>
    <t>Хомяков Александр</t>
  </si>
  <si>
    <t>1. Хомяков Александр</t>
  </si>
  <si>
    <t>Открытая (20.01.1991)/30</t>
  </si>
  <si>
    <t>86,50</t>
  </si>
  <si>
    <t>Баженов Павел</t>
  </si>
  <si>
    <t>2. Баженов Павел</t>
  </si>
  <si>
    <t>Открытая (03.01.1985)/36</t>
  </si>
  <si>
    <t>85,90</t>
  </si>
  <si>
    <t>Завьялов Александр</t>
  </si>
  <si>
    <t>3. Завьялов Александр</t>
  </si>
  <si>
    <t>Открытая (03.10.1975)/45</t>
  </si>
  <si>
    <t>87,80</t>
  </si>
  <si>
    <t>122,5</t>
  </si>
  <si>
    <t>1. Завьялов Александр</t>
  </si>
  <si>
    <t>Ветераны 45 - 49 (03.10.1975)/45</t>
  </si>
  <si>
    <t>Куцев Владимир</t>
  </si>
  <si>
    <t>1. Куцев Владимир</t>
  </si>
  <si>
    <t>Открытая (23.02.1988)/33</t>
  </si>
  <si>
    <t>109,90</t>
  </si>
  <si>
    <t>157,5</t>
  </si>
  <si>
    <t>162,5</t>
  </si>
  <si>
    <t>26,2237</t>
  </si>
  <si>
    <t>68,5040</t>
  </si>
  <si>
    <t>62,4360</t>
  </si>
  <si>
    <t>60,0860</t>
  </si>
  <si>
    <t>57,4145</t>
  </si>
  <si>
    <t>49,7700</t>
  </si>
  <si>
    <t xml:space="preserve">Ветераны 50 - 54 </t>
  </si>
  <si>
    <t>43,2988</t>
  </si>
  <si>
    <t xml:space="preserve">Юноши </t>
  </si>
  <si>
    <t>70,4048</t>
  </si>
  <si>
    <t>110,9930</t>
  </si>
  <si>
    <t>98,5465</t>
  </si>
  <si>
    <t>92,0220</t>
  </si>
  <si>
    <t>88,6174</t>
  </si>
  <si>
    <t>82,9384</t>
  </si>
  <si>
    <t>78,5750</t>
  </si>
  <si>
    <t>76,0113</t>
  </si>
  <si>
    <t>80,1919</t>
  </si>
  <si>
    <t>70,0271</t>
  </si>
  <si>
    <t>Открытый Кубок Восточной Европы «VIII КУБОК СВАРОГА WPC/AWPC/WAA-2021”
AWPC жим стоя
Курск/Курская область 19 - 20 марта 2021 г.</t>
  </si>
  <si>
    <t>Открытый Кубок Восточной Европы «VIII КУБОК СВАРОГА WPC/AWPC/WAA-2021”
WPC жим стоя
Курск/Курская область 19 - 20 марта 2021 г.</t>
  </si>
  <si>
    <t>Открытый Кубок Восточной Европы «VIII КУБОК СВАРОГА WPC/AWPC/WAA-2021”
AWPC жим лежа в однослойной экипировке
Курск/Курская область 19 - 20 марта 2021 г.</t>
  </si>
  <si>
    <t>Открытый Кубок Восточной Европы «VIII КУБОК СВАРОГА WPC/AWPC/WAA-2021”
AWPC жим лежа в многослойной экипировке
Курск/Курская область 19 - 20 марта 2021 г.</t>
  </si>
  <si>
    <t>Открытый Кубок Восточной Европы «VIII КУБОК СВАРОГА WPC/AWPC/WAA-2021”
AWPC жим лежа в стандартной софт экипировке
Курск/Курская область 19 - 20 марта 2021 г.</t>
  </si>
  <si>
    <t>127,5</t>
  </si>
  <si>
    <t>Жиренков Юрий</t>
  </si>
  <si>
    <t>1. Жиренков Юрий</t>
  </si>
  <si>
    <t>Открытая (23.08.1988)/32</t>
  </si>
  <si>
    <t>73,70</t>
  </si>
  <si>
    <t>182,5</t>
  </si>
  <si>
    <t>187,5</t>
  </si>
  <si>
    <t>Мищенко Артем</t>
  </si>
  <si>
    <t>2. Мищенко Артем</t>
  </si>
  <si>
    <t>Открытая (07.02.1992)/29</t>
  </si>
  <si>
    <t xml:space="preserve">Холмск/Сахалинская область </t>
  </si>
  <si>
    <t>Федяев Денис</t>
  </si>
  <si>
    <t>3. Федяев Денис</t>
  </si>
  <si>
    <t>Открытая (02.09.1991)/29</t>
  </si>
  <si>
    <t>81,80</t>
  </si>
  <si>
    <t>172,5</t>
  </si>
  <si>
    <t>1. Баженов Павел</t>
  </si>
  <si>
    <t>Тоцкий Анатолий</t>
  </si>
  <si>
    <t>1. Тоцкий Анатолий</t>
  </si>
  <si>
    <t>Ветераны 45 - 49 (12.02.1974)/47</t>
  </si>
  <si>
    <t>96,60</t>
  </si>
  <si>
    <t>255,0</t>
  </si>
  <si>
    <t>Костенников Олег</t>
  </si>
  <si>
    <t>1. Костенников Олег</t>
  </si>
  <si>
    <t>Открытая (24.01.1966)/55</t>
  </si>
  <si>
    <t>103,40</t>
  </si>
  <si>
    <t>Ветераны 55 - 59 (24.01.1966)/55</t>
  </si>
  <si>
    <t>115,6005</t>
  </si>
  <si>
    <t>130,5800</t>
  </si>
  <si>
    <t>127,3029</t>
  </si>
  <si>
    <t>114,7600</t>
  </si>
  <si>
    <t>112,1681</t>
  </si>
  <si>
    <t>111,8145</t>
  </si>
  <si>
    <t>94,2900</t>
  </si>
  <si>
    <t>162,8421</t>
  </si>
  <si>
    <t xml:space="preserve">Ветераны 55 - 59 </t>
  </si>
  <si>
    <t>140,5810</t>
  </si>
  <si>
    <t>Открытый Кубок Восточной Европы «VIII КУБОК СВАРОГА WPC/AWPC/WAA-2021”
AWPC жим лежа в многослойной софт экипировке
Курск/Курская область 19 - 20 марта 2021 г.</t>
  </si>
  <si>
    <t>Открытый Кубок Восточной Европы «VIII КУБОК СВАРОГА WPC/AWPC/WAA-2021”
WPC тяга становая без экипировки
Курск/Курская область 19 - 20 марта 2021 г.</t>
  </si>
  <si>
    <t>ВЕСОВАЯ КАТЕГОРИЯ   125</t>
  </si>
  <si>
    <t>Берлов Дмитрий</t>
  </si>
  <si>
    <t>1. Берлов Дмитрий</t>
  </si>
  <si>
    <t>Открытая (10.06.1984)/36</t>
  </si>
  <si>
    <t>121,80</t>
  </si>
  <si>
    <t xml:space="preserve">Орёл/Орловская область </t>
  </si>
  <si>
    <t>295,0</t>
  </si>
  <si>
    <t>310,0</t>
  </si>
  <si>
    <t>315,0</t>
  </si>
  <si>
    <t xml:space="preserve">Зайцев Сергей </t>
  </si>
  <si>
    <t>110,4070</t>
  </si>
  <si>
    <t>105,9265</t>
  </si>
  <si>
    <t>125</t>
  </si>
  <si>
    <t>170,2055</t>
  </si>
  <si>
    <t>Открытый Кубок Восточной Европы «VIII КУБОК СВАРОГА WPC/AWPC/WAA-2021”
WPC тяга становая в однослойной экипировке
Курск/Курская область 19 - 20 марта 2021 г.</t>
  </si>
  <si>
    <t>Открытый Кубок Восточной Европы «VIII КУБОК СВАРОГА WPC/AWPC/WAA-2021”
WPC тяга становая в многослойной экипировке
Курск/Курская область 19 - 20 марта 2021 г.</t>
  </si>
  <si>
    <t>Открытый Кубок Восточной Европы «VIII КУБОК СВАРОГА WPC/AWPC/WAA-2021”
AWPC тяга становая без экипировки
Курск/Курская область 19 - 20 марта 2021 г.</t>
  </si>
  <si>
    <t>Сиротина Анастасия</t>
  </si>
  <si>
    <t>1. Сиротина Анастасия</t>
  </si>
  <si>
    <t>Открытая (02.05.1996)/24</t>
  </si>
  <si>
    <t>57,20</t>
  </si>
  <si>
    <t>Лапшина Инна</t>
  </si>
  <si>
    <t>1. Лапшина Инна</t>
  </si>
  <si>
    <t>Открытая (12.05.1981)/39</t>
  </si>
  <si>
    <t>64,70</t>
  </si>
  <si>
    <t>87,5</t>
  </si>
  <si>
    <t>Васильев Александр</t>
  </si>
  <si>
    <t>1. Васильев Александр</t>
  </si>
  <si>
    <t>Открытая (26.02.1987)/34</t>
  </si>
  <si>
    <t>73,40</t>
  </si>
  <si>
    <t>202,5</t>
  </si>
  <si>
    <t>207,5</t>
  </si>
  <si>
    <t>Кузнецов Николай</t>
  </si>
  <si>
    <t>1. Кузнецов Николай</t>
  </si>
  <si>
    <t>Открытая (21.12.1992)/28</t>
  </si>
  <si>
    <t>97,10</t>
  </si>
  <si>
    <t>232,5</t>
  </si>
  <si>
    <t>110,9300</t>
  </si>
  <si>
    <t>124,1635</t>
  </si>
  <si>
    <t>112,8930</t>
  </si>
  <si>
    <t>104,3900</t>
  </si>
  <si>
    <t>86,0250</t>
  </si>
  <si>
    <t>96,2195</t>
  </si>
  <si>
    <t>141,6994</t>
  </si>
  <si>
    <t>136,9076</t>
  </si>
  <si>
    <t>Открытый Кубок Восточной Европы «VIII КУБОК СВАРОГА WPC/AWPC/WAA-2021”
AWPC тяга становая в однослойной экипировке
Курск/Курская область 19 - 20 марта 2021 г.</t>
  </si>
  <si>
    <t>Открытый Кубок Восточной Европы «VIII КУБОК СВАРОГА WPC/AWPC/WAA-2021”
AWPC тяга становая в многослойной экипировке
Курск/Курская область 19 - 20 марта 2021 г.</t>
  </si>
  <si>
    <t>2. Толмачева Ольга</t>
  </si>
  <si>
    <t>177,6822</t>
  </si>
  <si>
    <t>145,2990</t>
  </si>
  <si>
    <t>Открытый Кубок Восточной Европы «VIII КУБОК СВАРОГА WPC/AWPC/WAA-2021”
AWPC строгий подъем на бицепс
Курск/Курская область 19 - 20 марта 2021 г.</t>
  </si>
  <si>
    <t>Подъем на бицепс</t>
  </si>
  <si>
    <t>15,0</t>
  </si>
  <si>
    <t>20,0</t>
  </si>
  <si>
    <t>25,0</t>
  </si>
  <si>
    <t>52,5</t>
  </si>
  <si>
    <t>-. Умеренков Игорь</t>
  </si>
  <si>
    <t>Открытая (13.09.1980)/40</t>
  </si>
  <si>
    <t>110,00</t>
  </si>
  <si>
    <t xml:space="preserve">Самост </t>
  </si>
  <si>
    <t>34,2520</t>
  </si>
  <si>
    <t>22,7040</t>
  </si>
  <si>
    <t>31,4300</t>
  </si>
  <si>
    <t>29,3805</t>
  </si>
  <si>
    <t>Открытый Кубок Восточной Европы «VIII КУБОК СВАРОГА WPC/AWPC/WAA-2021”
WPC строгий подъем на бицепс
Курск/Курская область 19 - 20 марта 2021 г.</t>
  </si>
  <si>
    <t>Открытый Кубок Восточной Европы «VIII КУБОК СВАРОГА WPC/AWPC/WAA-2021”
WPC Народный жим (1 вес)
Курск/Курская область 19 - 20 марта 2021 г.</t>
  </si>
  <si>
    <t>Народный жим</t>
  </si>
  <si>
    <t>82,50</t>
  </si>
  <si>
    <t>36,0</t>
  </si>
  <si>
    <t>107,5</t>
  </si>
  <si>
    <t>19,0</t>
  </si>
  <si>
    <t>Ветераны 40 - 49 (28.03.1972)/48</t>
  </si>
  <si>
    <t>2970,0</t>
  </si>
  <si>
    <t>1914,4619</t>
  </si>
  <si>
    <t>2042,5</t>
  </si>
  <si>
    <t>1162,9995</t>
  </si>
  <si>
    <t xml:space="preserve">Ветераны 40 - 49 </t>
  </si>
  <si>
    <t>1275,8105</t>
  </si>
  <si>
    <t>Тоннаж</t>
  </si>
  <si>
    <t>Открытый Кубок Восточной Европы «VIII КУБОК СВАРОГА WPC/AWPC/WAA-2021”
AWPC Народный жим (1 вес)
Курск/Курская область 19 - 20 марта 2021 г.</t>
  </si>
  <si>
    <t>72,5</t>
  </si>
  <si>
    <t>10,0</t>
  </si>
  <si>
    <t>Ветераны 40 - 49 (09.12.1980)/40</t>
  </si>
  <si>
    <t>Ветераны 40 - 49 (13.09.1980)/40</t>
  </si>
  <si>
    <t>13,0</t>
  </si>
  <si>
    <t>32,0</t>
  </si>
  <si>
    <t>Ветераны 40 - 49 (03.10.1975)/45</t>
  </si>
  <si>
    <t>18,0</t>
  </si>
  <si>
    <t>725,0</t>
  </si>
  <si>
    <t>620,8175</t>
  </si>
  <si>
    <t>2640,0</t>
  </si>
  <si>
    <t>1723,6559</t>
  </si>
  <si>
    <t>1137,5</t>
  </si>
  <si>
    <t>715,0325</t>
  </si>
  <si>
    <t>1620,0</t>
  </si>
  <si>
    <t>1060,4966</t>
  </si>
  <si>
    <t>877,5</t>
  </si>
  <si>
    <t>664,3114</t>
  </si>
  <si>
    <t>Открытый Кубок Восточной Европы «VIII КУБОК СВАРОГА WPC/AWPC/WAA-2021”
WPC Народный жим (1/2 вес)
Курск/Курская область 19 - 20 марта 2021 г.</t>
  </si>
  <si>
    <t>Открытый Кубок Восточной Европы «VIII КУБОК СВАРОГА WPC/AWPC/WAA-2021”
AWPC Народный жим (1/2 вес)
Курск/Курская область 19 - 20 марта 2021 г.</t>
  </si>
  <si>
    <t>Енина Елена</t>
  </si>
  <si>
    <t>1. Енина Елена</t>
  </si>
  <si>
    <t>Открытая (10.05.1989)/31</t>
  </si>
  <si>
    <t>49,90</t>
  </si>
  <si>
    <t>42,0</t>
  </si>
  <si>
    <t>2. Чернявская Татьяна</t>
  </si>
  <si>
    <t>27,5</t>
  </si>
  <si>
    <t>31,0</t>
  </si>
  <si>
    <t>1050,0</t>
  </si>
  <si>
    <t>1201,3049</t>
  </si>
  <si>
    <t>852,5</t>
  </si>
  <si>
    <t>967,7580</t>
  </si>
  <si>
    <t>Открытый Кубок Восточной Европы «VIII КУБОК СВАРОГА WPC/AWPC/WAA-2021”
«Русская рулетка»
Курск/Курская область 16 марта 2021 г.</t>
  </si>
  <si>
    <t>Тяга</t>
  </si>
  <si>
    <t>ВЕСОВАЯ КАТЕГОРИЯ   80</t>
  </si>
  <si>
    <t>Умеренков Даниил</t>
  </si>
  <si>
    <t>1. Умеренков Даниил</t>
  </si>
  <si>
    <t>Юниоры (01.03.2004)/17</t>
  </si>
  <si>
    <t>50,5</t>
  </si>
  <si>
    <t>63,0</t>
  </si>
  <si>
    <t>Открытая (01.03.2004)/17</t>
  </si>
  <si>
    <t xml:space="preserve">Юниоры </t>
  </si>
  <si>
    <t>80</t>
  </si>
  <si>
    <t>34,7718</t>
  </si>
  <si>
    <t>Открытый Кубок Восточной Европы «VIII КУБОК СВАРОГА WPC/AWPC/WAA-2021”
«Русская ось»
Курск/Курская область 16 марта 2021 г.</t>
  </si>
  <si>
    <t>ВЕСОВАЯ КАТЕГОРИЯ   70</t>
  </si>
  <si>
    <t>Мастера 40+ (17.06.1980)/40</t>
  </si>
  <si>
    <t>120,0</t>
  </si>
  <si>
    <t>70</t>
  </si>
  <si>
    <t>60,4500</t>
  </si>
  <si>
    <t xml:space="preserve">Мастера </t>
  </si>
  <si>
    <t xml:space="preserve">Мастера 40+ </t>
  </si>
  <si>
    <t>68,3760</t>
  </si>
  <si>
    <t>82,6260</t>
  </si>
  <si>
    <t>Открытый Кубок Восточной Европы «VIII КУБОК СВАРОГА WPC/AWPC/WAA-2021”
«Русский хаб»
Курск/Курская область 16 марта 2021 г.</t>
  </si>
  <si>
    <t>Открытый Кубок Восточной Европы «VIII КУБОК СВАРОГА WPC/AWPC/WAA-2021”
«Русский кирпич»
Курск/Курская область 16 марта 2021 г.</t>
  </si>
  <si>
    <t>Открытый Кубок Восточной Европы «VIII КУБОК СВАРОГА WPC/AWPC/WAA-2021”
«Русская пуля»
Курск/Курская область 16 марта 2021 г.</t>
  </si>
  <si>
    <t>Открытый Кубок Восточной Европы «VIII КУБОК СВАРОГА WPC/AWPC/WAA-2021”
«Эскалибур»
Курск/Курская область 16 марта 2021 г.</t>
  </si>
  <si>
    <t>51,6412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</si>
</sst>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workbookViewId="0">
      <selection sqref="A1:XFD1048576"/>
    </sheetView>
  </sheetViews>
  <sheetFormatPr defaultColWidth="9.109375" defaultRowHeight="13.2" x14ac:dyDescent="0.25"/>
  <cols>
    <col min="1" max="1" width="25.88671875" style="4" bestFit="1" customWidth="1"/>
    <col min="2" max="2" width="27.88671875" style="4" customWidth="1"/>
    <col min="3" max="3" width="16.44140625" style="4" customWidth="1"/>
    <col min="4" max="4" width="6.5546875" style="5" bestFit="1" customWidth="1"/>
    <col min="5" max="5" width="23.6640625" style="4" bestFit="1" customWidth="1"/>
    <col min="6" max="6" width="21.109375" style="4" bestFit="1" customWidth="1"/>
    <col min="7" max="7" width="6.5546875" style="3" bestFit="1" customWidth="1"/>
    <col min="8" max="9" width="2.109375" style="3" bestFit="1" customWidth="1"/>
    <col min="10" max="10" width="4.88671875" style="3" bestFit="1" customWidth="1"/>
    <col min="11" max="13" width="2.109375" style="3" bestFit="1" customWidth="1"/>
    <col min="14" max="14" width="4.88671875" style="3" bestFit="1" customWidth="1"/>
    <col min="15" max="17" width="2.109375" style="3" bestFit="1" customWidth="1"/>
    <col min="18" max="18" width="4.88671875" style="3" bestFit="1" customWidth="1"/>
    <col min="19" max="19" width="5" style="3" bestFit="1" customWidth="1"/>
    <col min="20" max="20" width="10.44140625" style="3" bestFit="1" customWidth="1"/>
    <col min="21" max="21" width="5" style="3" bestFit="1" customWidth="1"/>
    <col min="22" max="22" width="10.44140625" style="3" bestFit="1" customWidth="1"/>
    <col min="23" max="23" width="7.88671875" style="7" bestFit="1" customWidth="1"/>
    <col min="24" max="24" width="8.5546875" style="8" bestFit="1" customWidth="1"/>
    <col min="25" max="25" width="23" style="4" bestFit="1" customWidth="1"/>
    <col min="26" max="16384" width="9.109375" style="3"/>
  </cols>
  <sheetData>
    <row r="1" spans="1:25" s="2" customFormat="1" ht="15" customHeight="1" x14ac:dyDescent="0.2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/>
    </row>
    <row r="2" spans="1:25" s="2" customFormat="1" ht="66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7"/>
    </row>
    <row r="3" spans="1:25" s="1" customFormat="1" ht="12.75" customHeight="1" x14ac:dyDescent="0.25">
      <c r="A3" s="19" t="s">
        <v>0</v>
      </c>
      <c r="B3" s="21" t="s">
        <v>7</v>
      </c>
      <c r="C3" s="21" t="s">
        <v>11</v>
      </c>
      <c r="D3" s="10" t="s">
        <v>6</v>
      </c>
      <c r="E3" s="18" t="s">
        <v>4</v>
      </c>
      <c r="F3" s="18" t="s">
        <v>8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0" t="s">
        <v>1</v>
      </c>
      <c r="X3" s="10" t="s">
        <v>3</v>
      </c>
      <c r="Y3" s="23" t="s">
        <v>2</v>
      </c>
    </row>
    <row r="4" spans="1:25" s="1" customFormat="1" ht="21" customHeight="1" thickBot="1" x14ac:dyDescent="0.3">
      <c r="A4" s="20"/>
      <c r="B4" s="22"/>
      <c r="C4" s="22"/>
      <c r="D4" s="11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9" t="s">
        <v>9</v>
      </c>
      <c r="T4" s="9" t="s">
        <v>10</v>
      </c>
      <c r="U4" s="9" t="s">
        <v>9</v>
      </c>
      <c r="V4" s="9" t="s">
        <v>10</v>
      </c>
      <c r="W4" s="11"/>
      <c r="X4" s="11"/>
      <c r="Y4" s="24"/>
    </row>
    <row r="5" spans="1:25" x14ac:dyDescent="0.25">
      <c r="G5" s="6"/>
    </row>
  </sheetData>
  <mergeCells count="15">
    <mergeCell ref="S3:T3"/>
    <mergeCell ref="U3:V3"/>
    <mergeCell ref="W3:W4"/>
    <mergeCell ref="X3:X4"/>
    <mergeCell ref="Y3:Y4"/>
    <mergeCell ref="A1:Y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9.88671875" style="4" bestFit="1" customWidth="1"/>
    <col min="3" max="3" width="14.88671875" style="4" bestFit="1" customWidth="1"/>
    <col min="4" max="4" width="11.88671875" style="4" bestFit="1" customWidth="1"/>
    <col min="5" max="5" width="21.77734375" style="4" bestFit="1" customWidth="1"/>
    <col min="6" max="6" width="38.21875" style="4" bestFit="1" customWidth="1"/>
    <col min="7" max="7" width="4.77734375" style="3" customWidth="1"/>
    <col min="8" max="8" width="10" style="3" customWidth="1"/>
    <col min="9" max="9" width="7.6640625" style="27" bestFit="1" customWidth="1"/>
    <col min="10" max="10" width="9.5546875" style="2" bestFit="1" customWidth="1"/>
    <col min="11" max="11" width="16.21875" style="4" bestFit="1" customWidth="1"/>
    <col min="12" max="16384" width="9.109375" style="3"/>
  </cols>
  <sheetData>
    <row r="1" spans="1:11" s="2" customFormat="1" ht="28.95" customHeight="1" x14ac:dyDescent="0.25">
      <c r="A1" s="25" t="s">
        <v>453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s="1" customFormat="1" ht="12.75" customHeight="1" x14ac:dyDescent="0.25">
      <c r="A3" s="19" t="s">
        <v>0</v>
      </c>
      <c r="B3" s="21" t="s">
        <v>7</v>
      </c>
      <c r="C3" s="21" t="s">
        <v>11</v>
      </c>
      <c r="D3" s="18" t="s">
        <v>21</v>
      </c>
      <c r="E3" s="18" t="s">
        <v>4</v>
      </c>
      <c r="F3" s="18" t="s">
        <v>8</v>
      </c>
      <c r="G3" s="18" t="s">
        <v>440</v>
      </c>
      <c r="H3" s="18"/>
      <c r="I3" s="18" t="s">
        <v>452</v>
      </c>
      <c r="J3" s="18" t="s">
        <v>3</v>
      </c>
      <c r="K3" s="23" t="s">
        <v>2</v>
      </c>
    </row>
    <row r="4" spans="1:11" s="1" customFormat="1" ht="21" customHeight="1" thickBot="1" x14ac:dyDescent="0.3">
      <c r="A4" s="20"/>
      <c r="B4" s="22"/>
      <c r="C4" s="22"/>
      <c r="D4" s="22"/>
      <c r="E4" s="22"/>
      <c r="F4" s="22"/>
      <c r="G4" s="9" t="s">
        <v>9</v>
      </c>
      <c r="H4" s="9" t="s">
        <v>10</v>
      </c>
      <c r="I4" s="22"/>
      <c r="J4" s="22"/>
      <c r="K4" s="24"/>
    </row>
    <row r="5" spans="1:11" ht="15.6" x14ac:dyDescent="0.3">
      <c r="A5" s="29" t="s">
        <v>208</v>
      </c>
      <c r="B5" s="40"/>
      <c r="C5" s="40"/>
      <c r="D5" s="40"/>
      <c r="E5" s="40"/>
      <c r="F5" s="40"/>
      <c r="G5" s="40"/>
      <c r="H5" s="40"/>
    </row>
    <row r="6" spans="1:11" x14ac:dyDescent="0.25">
      <c r="A6" s="34" t="s">
        <v>248</v>
      </c>
      <c r="B6" s="34" t="s">
        <v>249</v>
      </c>
      <c r="C6" s="34" t="s">
        <v>250</v>
      </c>
      <c r="D6" s="34" t="str">
        <f>"0,8563"</f>
        <v>0,8563</v>
      </c>
      <c r="E6" s="34" t="s">
        <v>204</v>
      </c>
      <c r="F6" s="34" t="s">
        <v>194</v>
      </c>
      <c r="G6" s="35" t="s">
        <v>454</v>
      </c>
      <c r="H6" s="35" t="s">
        <v>455</v>
      </c>
      <c r="I6" s="44" t="str">
        <f>"725,0"</f>
        <v>725,0</v>
      </c>
      <c r="J6" s="45" t="str">
        <f>"620,8175"</f>
        <v>620,8175</v>
      </c>
      <c r="K6" s="34" t="s">
        <v>251</v>
      </c>
    </row>
    <row r="7" spans="1:11" x14ac:dyDescent="0.25">
      <c r="A7" s="37" t="s">
        <v>248</v>
      </c>
      <c r="B7" s="37" t="s">
        <v>456</v>
      </c>
      <c r="C7" s="37" t="s">
        <v>250</v>
      </c>
      <c r="D7" s="37" t="str">
        <f>"0,8563"</f>
        <v>0,8563</v>
      </c>
      <c r="E7" s="37" t="s">
        <v>204</v>
      </c>
      <c r="F7" s="37" t="s">
        <v>194</v>
      </c>
      <c r="G7" s="38" t="s">
        <v>454</v>
      </c>
      <c r="H7" s="38" t="s">
        <v>455</v>
      </c>
      <c r="I7" s="46" t="str">
        <f>"725,0"</f>
        <v>725,0</v>
      </c>
      <c r="J7" s="47" t="str">
        <f>"620,8175"</f>
        <v>620,8175</v>
      </c>
      <c r="K7" s="37" t="s">
        <v>251</v>
      </c>
    </row>
    <row r="9" spans="1:11" ht="15.6" x14ac:dyDescent="0.3">
      <c r="A9" s="33" t="s">
        <v>41</v>
      </c>
      <c r="B9" s="43"/>
      <c r="C9" s="43"/>
      <c r="D9" s="43"/>
      <c r="E9" s="43"/>
      <c r="F9" s="43"/>
      <c r="G9" s="43"/>
      <c r="H9" s="43"/>
    </row>
    <row r="10" spans="1:11" x14ac:dyDescent="0.25">
      <c r="A10" s="30" t="s">
        <v>273</v>
      </c>
      <c r="B10" s="30" t="s">
        <v>457</v>
      </c>
      <c r="C10" s="30" t="s">
        <v>275</v>
      </c>
      <c r="D10" s="30" t="str">
        <f>"0,7570"</f>
        <v>0,7570</v>
      </c>
      <c r="E10" s="30" t="s">
        <v>53</v>
      </c>
      <c r="F10" s="30" t="s">
        <v>276</v>
      </c>
      <c r="G10" s="31" t="s">
        <v>230</v>
      </c>
      <c r="H10" s="31" t="s">
        <v>458</v>
      </c>
      <c r="I10" s="41" t="str">
        <f>"877,5"</f>
        <v>877,5</v>
      </c>
      <c r="J10" s="42" t="str">
        <f>"664,3114"</f>
        <v>664,3114</v>
      </c>
      <c r="K10" s="30" t="s">
        <v>40</v>
      </c>
    </row>
    <row r="12" spans="1:11" ht="15.6" x14ac:dyDescent="0.3">
      <c r="A12" s="33" t="s">
        <v>48</v>
      </c>
      <c r="B12" s="43"/>
      <c r="C12" s="43"/>
      <c r="D12" s="43"/>
      <c r="E12" s="43"/>
      <c r="F12" s="43"/>
      <c r="G12" s="43"/>
      <c r="H12" s="43"/>
    </row>
    <row r="13" spans="1:11" x14ac:dyDescent="0.25">
      <c r="A13" s="30" t="s">
        <v>283</v>
      </c>
      <c r="B13" s="30" t="s">
        <v>284</v>
      </c>
      <c r="C13" s="30" t="s">
        <v>285</v>
      </c>
      <c r="D13" s="30" t="str">
        <f>"0,6529"</f>
        <v>0,6529</v>
      </c>
      <c r="E13" s="30" t="s">
        <v>138</v>
      </c>
      <c r="F13" s="30" t="s">
        <v>139</v>
      </c>
      <c r="G13" s="31" t="s">
        <v>46</v>
      </c>
      <c r="H13" s="31" t="s">
        <v>459</v>
      </c>
      <c r="I13" s="41" t="str">
        <f>"2640,0"</f>
        <v>2640,0</v>
      </c>
      <c r="J13" s="42" t="str">
        <f>"1723,6559"</f>
        <v>1723,6559</v>
      </c>
      <c r="K13" s="30" t="s">
        <v>40</v>
      </c>
    </row>
    <row r="15" spans="1:11" ht="15.6" x14ac:dyDescent="0.3">
      <c r="A15" s="33" t="s">
        <v>121</v>
      </c>
      <c r="B15" s="43"/>
      <c r="C15" s="43"/>
      <c r="D15" s="43"/>
      <c r="E15" s="43"/>
      <c r="F15" s="43"/>
      <c r="G15" s="43"/>
      <c r="H15" s="43"/>
    </row>
    <row r="16" spans="1:11" x14ac:dyDescent="0.25">
      <c r="A16" s="34" t="s">
        <v>351</v>
      </c>
      <c r="B16" s="34" t="s">
        <v>296</v>
      </c>
      <c r="C16" s="34" t="s">
        <v>297</v>
      </c>
      <c r="D16" s="34" t="str">
        <f>"0,6286"</f>
        <v>0,6286</v>
      </c>
      <c r="E16" s="34" t="s">
        <v>138</v>
      </c>
      <c r="F16" s="34" t="s">
        <v>139</v>
      </c>
      <c r="G16" s="35" t="s">
        <v>399</v>
      </c>
      <c r="H16" s="35" t="s">
        <v>458</v>
      </c>
      <c r="I16" s="44" t="str">
        <f>"1137,5"</f>
        <v>1137,5</v>
      </c>
      <c r="J16" s="45" t="str">
        <f>"715,0325"</f>
        <v>715,0325</v>
      </c>
      <c r="K16" s="34" t="s">
        <v>40</v>
      </c>
    </row>
    <row r="17" spans="1:11" x14ac:dyDescent="0.25">
      <c r="A17" s="37" t="s">
        <v>303</v>
      </c>
      <c r="B17" s="37" t="s">
        <v>460</v>
      </c>
      <c r="C17" s="37" t="s">
        <v>301</v>
      </c>
      <c r="D17" s="37" t="str">
        <f>"0,6205"</f>
        <v>0,6205</v>
      </c>
      <c r="E17" s="37" t="s">
        <v>138</v>
      </c>
      <c r="F17" s="37" t="s">
        <v>139</v>
      </c>
      <c r="G17" s="38" t="s">
        <v>37</v>
      </c>
      <c r="H17" s="38" t="s">
        <v>461</v>
      </c>
      <c r="I17" s="46" t="str">
        <f>"1620,0"</f>
        <v>1620,0</v>
      </c>
      <c r="J17" s="47" t="str">
        <f>"1060,4966"</f>
        <v>1060,4966</v>
      </c>
      <c r="K17" s="37" t="s">
        <v>40</v>
      </c>
    </row>
    <row r="19" spans="1:11" ht="15" x14ac:dyDescent="0.25">
      <c r="E19" s="26" t="s">
        <v>13</v>
      </c>
    </row>
    <row r="20" spans="1:11" ht="15" x14ac:dyDescent="0.25">
      <c r="E20" s="26" t="s">
        <v>14</v>
      </c>
    </row>
    <row r="21" spans="1:11" ht="15" x14ac:dyDescent="0.25">
      <c r="E21" s="26" t="s">
        <v>15</v>
      </c>
    </row>
    <row r="22" spans="1:11" ht="15" x14ac:dyDescent="0.25">
      <c r="E22" s="26" t="s">
        <v>16</v>
      </c>
    </row>
    <row r="23" spans="1:11" ht="15" x14ac:dyDescent="0.25">
      <c r="E23" s="26" t="s">
        <v>16</v>
      </c>
    </row>
    <row r="24" spans="1:11" ht="15" x14ac:dyDescent="0.25">
      <c r="E24" s="26" t="s">
        <v>17</v>
      </c>
    </row>
    <row r="25" spans="1:11" ht="15" x14ac:dyDescent="0.25">
      <c r="E25" s="26"/>
    </row>
    <row r="27" spans="1:11" ht="17.399999999999999" x14ac:dyDescent="0.3">
      <c r="A27" s="28" t="s">
        <v>18</v>
      </c>
      <c r="B27" s="28"/>
    </row>
    <row r="28" spans="1:11" ht="15.6" x14ac:dyDescent="0.3">
      <c r="A28" s="48" t="s">
        <v>94</v>
      </c>
      <c r="B28" s="48"/>
    </row>
    <row r="29" spans="1:11" ht="14.4" x14ac:dyDescent="0.3">
      <c r="A29" s="50"/>
      <c r="B29" s="51" t="s">
        <v>95</v>
      </c>
    </row>
    <row r="30" spans="1:11" ht="13.8" x14ac:dyDescent="0.25">
      <c r="A30" s="52" t="s">
        <v>96</v>
      </c>
      <c r="B30" s="52" t="s">
        <v>97</v>
      </c>
      <c r="C30" s="52" t="s">
        <v>98</v>
      </c>
      <c r="D30" s="52" t="s">
        <v>142</v>
      </c>
      <c r="E30" s="52" t="s">
        <v>100</v>
      </c>
    </row>
    <row r="31" spans="1:11" x14ac:dyDescent="0.25">
      <c r="A31" s="49" t="s">
        <v>247</v>
      </c>
      <c r="B31" s="4" t="s">
        <v>95</v>
      </c>
      <c r="C31" s="4" t="s">
        <v>217</v>
      </c>
      <c r="D31" s="4" t="s">
        <v>462</v>
      </c>
      <c r="E31" s="27" t="s">
        <v>463</v>
      </c>
    </row>
    <row r="33" spans="1:5" ht="14.4" x14ac:dyDescent="0.3">
      <c r="A33" s="50"/>
      <c r="B33" s="51" t="s">
        <v>116</v>
      </c>
    </row>
    <row r="34" spans="1:5" ht="13.8" x14ac:dyDescent="0.25">
      <c r="A34" s="52" t="s">
        <v>96</v>
      </c>
      <c r="B34" s="52" t="s">
        <v>97</v>
      </c>
      <c r="C34" s="52" t="s">
        <v>98</v>
      </c>
      <c r="D34" s="52" t="s">
        <v>142</v>
      </c>
      <c r="E34" s="52" t="s">
        <v>100</v>
      </c>
    </row>
    <row r="35" spans="1:5" x14ac:dyDescent="0.25">
      <c r="A35" s="49" t="s">
        <v>247</v>
      </c>
      <c r="B35" s="4" t="s">
        <v>450</v>
      </c>
      <c r="C35" s="4" t="s">
        <v>217</v>
      </c>
      <c r="D35" s="4" t="s">
        <v>462</v>
      </c>
      <c r="E35" s="27" t="s">
        <v>463</v>
      </c>
    </row>
    <row r="38" spans="1:5" ht="15.6" x14ac:dyDescent="0.3">
      <c r="A38" s="48" t="s">
        <v>106</v>
      </c>
      <c r="B38" s="48"/>
    </row>
    <row r="39" spans="1:5" ht="14.4" x14ac:dyDescent="0.3">
      <c r="A39" s="50"/>
      <c r="B39" s="51" t="s">
        <v>95</v>
      </c>
    </row>
    <row r="40" spans="1:5" ht="13.8" x14ac:dyDescent="0.25">
      <c r="A40" s="52" t="s">
        <v>96</v>
      </c>
      <c r="B40" s="52" t="s">
        <v>97</v>
      </c>
      <c r="C40" s="52" t="s">
        <v>98</v>
      </c>
      <c r="D40" s="52" t="s">
        <v>142</v>
      </c>
      <c r="E40" s="52" t="s">
        <v>100</v>
      </c>
    </row>
    <row r="41" spans="1:5" x14ac:dyDescent="0.25">
      <c r="A41" s="49" t="s">
        <v>282</v>
      </c>
      <c r="B41" s="4" t="s">
        <v>95</v>
      </c>
      <c r="C41" s="4" t="s">
        <v>107</v>
      </c>
      <c r="D41" s="4" t="s">
        <v>464</v>
      </c>
      <c r="E41" s="27" t="s">
        <v>465</v>
      </c>
    </row>
    <row r="42" spans="1:5" x14ac:dyDescent="0.25">
      <c r="A42" s="49" t="s">
        <v>294</v>
      </c>
      <c r="B42" s="4" t="s">
        <v>95</v>
      </c>
      <c r="C42" s="4" t="s">
        <v>129</v>
      </c>
      <c r="D42" s="4" t="s">
        <v>466</v>
      </c>
      <c r="E42" s="27" t="s">
        <v>467</v>
      </c>
    </row>
    <row r="44" spans="1:5" ht="14.4" x14ac:dyDescent="0.3">
      <c r="A44" s="50"/>
      <c r="B44" s="51" t="s">
        <v>116</v>
      </c>
    </row>
    <row r="45" spans="1:5" ht="13.8" x14ac:dyDescent="0.25">
      <c r="A45" s="52" t="s">
        <v>96</v>
      </c>
      <c r="B45" s="52" t="s">
        <v>97</v>
      </c>
      <c r="C45" s="52" t="s">
        <v>98</v>
      </c>
      <c r="D45" s="52" t="s">
        <v>142</v>
      </c>
      <c r="E45" s="52" t="s">
        <v>100</v>
      </c>
    </row>
    <row r="46" spans="1:5" x14ac:dyDescent="0.25">
      <c r="A46" s="49" t="s">
        <v>298</v>
      </c>
      <c r="B46" s="4" t="s">
        <v>450</v>
      </c>
      <c r="C46" s="4" t="s">
        <v>129</v>
      </c>
      <c r="D46" s="4" t="s">
        <v>468</v>
      </c>
      <c r="E46" s="27" t="s">
        <v>469</v>
      </c>
    </row>
    <row r="47" spans="1:5" x14ac:dyDescent="0.25">
      <c r="A47" s="49" t="s">
        <v>272</v>
      </c>
      <c r="B47" s="4" t="s">
        <v>450</v>
      </c>
      <c r="C47" s="4" t="s">
        <v>103</v>
      </c>
      <c r="D47" s="4" t="s">
        <v>470</v>
      </c>
      <c r="E47" s="27" t="s">
        <v>471</v>
      </c>
    </row>
  </sheetData>
  <mergeCells count="15">
    <mergeCell ref="A9:H9"/>
    <mergeCell ref="A12:H12"/>
    <mergeCell ref="A15:H15"/>
    <mergeCell ref="G3:H3"/>
    <mergeCell ref="I3:I4"/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9.88671875" style="4" bestFit="1" customWidth="1"/>
    <col min="3" max="3" width="14.88671875" style="4" bestFit="1" customWidth="1"/>
    <col min="4" max="4" width="11.88671875" style="4" bestFit="1" customWidth="1"/>
    <col min="5" max="5" width="21.77734375" style="4" bestFit="1" customWidth="1"/>
    <col min="6" max="6" width="38.21875" style="4" bestFit="1" customWidth="1"/>
    <col min="7" max="7" width="5.5546875" style="3" customWidth="1"/>
    <col min="8" max="8" width="10" style="3" customWidth="1"/>
    <col min="9" max="9" width="7.6640625" style="27" bestFit="1" customWidth="1"/>
    <col min="10" max="10" width="9.5546875" style="2" bestFit="1" customWidth="1"/>
    <col min="11" max="11" width="8.33203125" style="4" bestFit="1" customWidth="1"/>
    <col min="12" max="16384" width="9.109375" style="3"/>
  </cols>
  <sheetData>
    <row r="1" spans="1:11" s="2" customFormat="1" ht="28.95" customHeight="1" x14ac:dyDescent="0.25">
      <c r="A1" s="25" t="s">
        <v>439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s="1" customFormat="1" ht="12.75" customHeight="1" x14ac:dyDescent="0.25">
      <c r="A3" s="19" t="s">
        <v>0</v>
      </c>
      <c r="B3" s="21" t="s">
        <v>7</v>
      </c>
      <c r="C3" s="21" t="s">
        <v>11</v>
      </c>
      <c r="D3" s="18" t="s">
        <v>21</v>
      </c>
      <c r="E3" s="18" t="s">
        <v>4</v>
      </c>
      <c r="F3" s="18" t="s">
        <v>8</v>
      </c>
      <c r="G3" s="18" t="s">
        <v>440</v>
      </c>
      <c r="H3" s="18"/>
      <c r="I3" s="18" t="s">
        <v>452</v>
      </c>
      <c r="J3" s="18" t="s">
        <v>3</v>
      </c>
      <c r="K3" s="23" t="s">
        <v>2</v>
      </c>
    </row>
    <row r="4" spans="1:11" s="1" customFormat="1" ht="21" customHeight="1" thickBot="1" x14ac:dyDescent="0.3">
      <c r="A4" s="20"/>
      <c r="B4" s="22"/>
      <c r="C4" s="22"/>
      <c r="D4" s="22"/>
      <c r="E4" s="22"/>
      <c r="F4" s="22"/>
      <c r="G4" s="9" t="s">
        <v>9</v>
      </c>
      <c r="H4" s="9" t="s">
        <v>10</v>
      </c>
      <c r="I4" s="22"/>
      <c r="J4" s="22"/>
      <c r="K4" s="24"/>
    </row>
    <row r="5" spans="1:11" ht="15.6" x14ac:dyDescent="0.3">
      <c r="A5" s="29" t="s">
        <v>48</v>
      </c>
      <c r="B5" s="40"/>
      <c r="C5" s="40"/>
      <c r="D5" s="40"/>
      <c r="E5" s="40"/>
      <c r="F5" s="40"/>
      <c r="G5" s="40"/>
      <c r="H5" s="40"/>
    </row>
    <row r="6" spans="1:11" x14ac:dyDescent="0.25">
      <c r="A6" s="30" t="s">
        <v>151</v>
      </c>
      <c r="B6" s="30" t="s">
        <v>152</v>
      </c>
      <c r="C6" s="30" t="s">
        <v>441</v>
      </c>
      <c r="D6" s="30" t="str">
        <f>"0,6446"</f>
        <v>0,6446</v>
      </c>
      <c r="E6" s="30" t="s">
        <v>68</v>
      </c>
      <c r="F6" s="30" t="s">
        <v>69</v>
      </c>
      <c r="G6" s="31" t="s">
        <v>46</v>
      </c>
      <c r="H6" s="31" t="s">
        <v>442</v>
      </c>
      <c r="I6" s="41" t="str">
        <f>"2970,0"</f>
        <v>2970,0</v>
      </c>
      <c r="J6" s="42" t="str">
        <f>"1914,4619"</f>
        <v>1914,4619</v>
      </c>
      <c r="K6" s="30" t="s">
        <v>40</v>
      </c>
    </row>
    <row r="8" spans="1:11" ht="15.6" x14ac:dyDescent="0.3">
      <c r="A8" s="33" t="s">
        <v>85</v>
      </c>
      <c r="B8" s="43"/>
      <c r="C8" s="43"/>
      <c r="D8" s="43"/>
      <c r="E8" s="43"/>
      <c r="F8" s="43"/>
      <c r="G8" s="43"/>
      <c r="H8" s="43"/>
    </row>
    <row r="9" spans="1:11" x14ac:dyDescent="0.25">
      <c r="A9" s="34" t="s">
        <v>135</v>
      </c>
      <c r="B9" s="34" t="s">
        <v>136</v>
      </c>
      <c r="C9" s="34" t="s">
        <v>137</v>
      </c>
      <c r="D9" s="34" t="str">
        <f>"0,5694"</f>
        <v>0,5694</v>
      </c>
      <c r="E9" s="34" t="s">
        <v>138</v>
      </c>
      <c r="F9" s="34" t="s">
        <v>139</v>
      </c>
      <c r="G9" s="35" t="s">
        <v>443</v>
      </c>
      <c r="H9" s="35" t="s">
        <v>444</v>
      </c>
      <c r="I9" s="44" t="str">
        <f>"2042,5"</f>
        <v>2042,5</v>
      </c>
      <c r="J9" s="45" t="str">
        <f>"1162,9995"</f>
        <v>1162,9995</v>
      </c>
      <c r="K9" s="34" t="s">
        <v>40</v>
      </c>
    </row>
    <row r="10" spans="1:11" x14ac:dyDescent="0.25">
      <c r="A10" s="37" t="s">
        <v>135</v>
      </c>
      <c r="B10" s="37" t="s">
        <v>445</v>
      </c>
      <c r="C10" s="37" t="s">
        <v>137</v>
      </c>
      <c r="D10" s="37" t="str">
        <f>"0,5694"</f>
        <v>0,5694</v>
      </c>
      <c r="E10" s="37" t="s">
        <v>138</v>
      </c>
      <c r="F10" s="37" t="s">
        <v>139</v>
      </c>
      <c r="G10" s="38" t="s">
        <v>443</v>
      </c>
      <c r="H10" s="38" t="s">
        <v>444</v>
      </c>
      <c r="I10" s="46" t="str">
        <f>"2042,5"</f>
        <v>2042,5</v>
      </c>
      <c r="J10" s="47" t="str">
        <f>"1275,8105"</f>
        <v>1275,8105</v>
      </c>
      <c r="K10" s="37" t="s">
        <v>40</v>
      </c>
    </row>
    <row r="12" spans="1:11" ht="15" x14ac:dyDescent="0.25">
      <c r="E12" s="26" t="s">
        <v>13</v>
      </c>
    </row>
    <row r="13" spans="1:11" ht="15" x14ac:dyDescent="0.25">
      <c r="E13" s="26" t="s">
        <v>14</v>
      </c>
    </row>
    <row r="14" spans="1:11" ht="15" x14ac:dyDescent="0.25">
      <c r="E14" s="26" t="s">
        <v>15</v>
      </c>
    </row>
    <row r="15" spans="1:11" ht="15" x14ac:dyDescent="0.25">
      <c r="E15" s="26" t="s">
        <v>16</v>
      </c>
    </row>
    <row r="16" spans="1:11" ht="15" x14ac:dyDescent="0.25">
      <c r="E16" s="26" t="s">
        <v>16</v>
      </c>
    </row>
    <row r="17" spans="1:5" ht="15" x14ac:dyDescent="0.25">
      <c r="E17" s="26" t="s">
        <v>17</v>
      </c>
    </row>
    <row r="18" spans="1:5" ht="15" x14ac:dyDescent="0.25">
      <c r="E18" s="26"/>
    </row>
    <row r="20" spans="1:5" ht="17.399999999999999" x14ac:dyDescent="0.3">
      <c r="A20" s="28" t="s">
        <v>18</v>
      </c>
      <c r="B20" s="28"/>
    </row>
    <row r="21" spans="1:5" ht="15.6" x14ac:dyDescent="0.3">
      <c r="A21" s="48" t="s">
        <v>106</v>
      </c>
      <c r="B21" s="48"/>
    </row>
    <row r="22" spans="1:5" ht="14.4" x14ac:dyDescent="0.3">
      <c r="A22" s="50"/>
      <c r="B22" s="51" t="s">
        <v>95</v>
      </c>
    </row>
    <row r="23" spans="1:5" ht="13.8" x14ac:dyDescent="0.25">
      <c r="A23" s="52" t="s">
        <v>96</v>
      </c>
      <c r="B23" s="52" t="s">
        <v>97</v>
      </c>
      <c r="C23" s="52" t="s">
        <v>98</v>
      </c>
      <c r="D23" s="52" t="s">
        <v>142</v>
      </c>
      <c r="E23" s="52" t="s">
        <v>100</v>
      </c>
    </row>
    <row r="24" spans="1:5" x14ac:dyDescent="0.25">
      <c r="A24" s="49" t="s">
        <v>150</v>
      </c>
      <c r="B24" s="4" t="s">
        <v>95</v>
      </c>
      <c r="C24" s="4" t="s">
        <v>107</v>
      </c>
      <c r="D24" s="4" t="s">
        <v>446</v>
      </c>
      <c r="E24" s="27" t="s">
        <v>447</v>
      </c>
    </row>
    <row r="25" spans="1:5" x14ac:dyDescent="0.25">
      <c r="A25" s="49" t="s">
        <v>134</v>
      </c>
      <c r="B25" s="4" t="s">
        <v>95</v>
      </c>
      <c r="C25" s="4" t="s">
        <v>113</v>
      </c>
      <c r="D25" s="4" t="s">
        <v>448</v>
      </c>
      <c r="E25" s="27" t="s">
        <v>449</v>
      </c>
    </row>
    <row r="27" spans="1:5" ht="14.4" x14ac:dyDescent="0.3">
      <c r="A27" s="50"/>
      <c r="B27" s="51" t="s">
        <v>116</v>
      </c>
    </row>
    <row r="28" spans="1:5" ht="13.8" x14ac:dyDescent="0.25">
      <c r="A28" s="52" t="s">
        <v>96</v>
      </c>
      <c r="B28" s="52" t="s">
        <v>97</v>
      </c>
      <c r="C28" s="52" t="s">
        <v>98</v>
      </c>
      <c r="D28" s="52" t="s">
        <v>142</v>
      </c>
      <c r="E28" s="52" t="s">
        <v>100</v>
      </c>
    </row>
    <row r="29" spans="1:5" x14ac:dyDescent="0.25">
      <c r="A29" s="49" t="s">
        <v>134</v>
      </c>
      <c r="B29" s="4" t="s">
        <v>450</v>
      </c>
      <c r="C29" s="4" t="s">
        <v>113</v>
      </c>
      <c r="D29" s="4" t="s">
        <v>448</v>
      </c>
      <c r="E29" s="27" t="s">
        <v>451</v>
      </c>
    </row>
  </sheetData>
  <mergeCells count="13">
    <mergeCell ref="A8:H8"/>
    <mergeCell ref="G3:H3"/>
    <mergeCell ref="I3:I4"/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6.5546875" style="4" bestFit="1" customWidth="1"/>
    <col min="5" max="5" width="21.77734375" style="4" bestFit="1" customWidth="1"/>
    <col min="6" max="6" width="16.109375" style="4" bestFit="1" customWidth="1"/>
    <col min="7" max="9" width="2.109375" style="3" customWidth="1"/>
    <col min="10" max="10" width="4.5546875" style="3" customWidth="1"/>
    <col min="11" max="11" width="7.6640625" style="27" bestFit="1" customWidth="1"/>
    <col min="12" max="12" width="5.88671875" style="2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5" t="s">
        <v>438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/>
      <c r="E3" s="18" t="s">
        <v>4</v>
      </c>
      <c r="F3" s="18" t="s">
        <v>8</v>
      </c>
      <c r="G3" s="18"/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6" spans="1:13" ht="15" x14ac:dyDescent="0.25">
      <c r="E6" s="26" t="s">
        <v>13</v>
      </c>
    </row>
    <row r="7" spans="1:13" ht="15" x14ac:dyDescent="0.25">
      <c r="E7" s="26" t="s">
        <v>14</v>
      </c>
    </row>
    <row r="8" spans="1:13" ht="15" x14ac:dyDescent="0.25">
      <c r="E8" s="26" t="s">
        <v>15</v>
      </c>
    </row>
    <row r="9" spans="1:13" ht="15" x14ac:dyDescent="0.25">
      <c r="E9" s="26" t="s">
        <v>16</v>
      </c>
    </row>
    <row r="10" spans="1:13" ht="15" x14ac:dyDescent="0.25">
      <c r="E10" s="26" t="s">
        <v>16</v>
      </c>
    </row>
    <row r="11" spans="1:13" ht="15" x14ac:dyDescent="0.25">
      <c r="E11" s="26" t="s">
        <v>17</v>
      </c>
    </row>
    <row r="12" spans="1:13" ht="15" x14ac:dyDescent="0.25">
      <c r="E12" s="26"/>
    </row>
    <row r="14" spans="1:13" ht="17.399999999999999" x14ac:dyDescent="0.3">
      <c r="A14" s="28" t="s">
        <v>18</v>
      </c>
      <c r="B14" s="28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9.88671875" style="4" bestFit="1" customWidth="1"/>
    <col min="3" max="3" width="14.88671875" style="4" bestFit="1" customWidth="1"/>
    <col min="4" max="4" width="11.88671875" style="4" bestFit="1" customWidth="1"/>
    <col min="5" max="5" width="21.77734375" style="4" bestFit="1" customWidth="1"/>
    <col min="6" max="6" width="38.21875" style="4" bestFit="1" customWidth="1"/>
    <col min="7" max="10" width="4.5546875" style="3" customWidth="1"/>
    <col min="11" max="11" width="7.6640625" style="27" bestFit="1" customWidth="1"/>
    <col min="12" max="12" width="7.5546875" style="2" bestFit="1" customWidth="1"/>
    <col min="13" max="13" width="16.21875" style="4" bestFit="1" customWidth="1"/>
    <col min="14" max="16384" width="9.109375" style="3"/>
  </cols>
  <sheetData>
    <row r="1" spans="1:13" s="2" customFormat="1" ht="28.95" customHeight="1" x14ac:dyDescent="0.25">
      <c r="A1" s="25" t="s">
        <v>424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 t="s">
        <v>21</v>
      </c>
      <c r="E3" s="18" t="s">
        <v>4</v>
      </c>
      <c r="F3" s="18" t="s">
        <v>8</v>
      </c>
      <c r="G3" s="18" t="s">
        <v>425</v>
      </c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5" spans="1:13" ht="15.6" x14ac:dyDescent="0.3">
      <c r="A5" s="29" t="s">
        <v>164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5">
      <c r="A6" s="30" t="s">
        <v>235</v>
      </c>
      <c r="B6" s="30" t="s">
        <v>236</v>
      </c>
      <c r="C6" s="30" t="s">
        <v>237</v>
      </c>
      <c r="D6" s="30" t="str">
        <f>"1,1352"</f>
        <v>1,1352</v>
      </c>
      <c r="E6" s="30" t="s">
        <v>138</v>
      </c>
      <c r="F6" s="30" t="s">
        <v>139</v>
      </c>
      <c r="G6" s="31" t="s">
        <v>426</v>
      </c>
      <c r="H6" s="31" t="s">
        <v>427</v>
      </c>
      <c r="I6" s="32" t="s">
        <v>428</v>
      </c>
      <c r="J6" s="32"/>
      <c r="K6" s="41" t="str">
        <f>"20,0"</f>
        <v>20,0</v>
      </c>
      <c r="L6" s="42" t="str">
        <f>"22,7040"</f>
        <v>22,7040</v>
      </c>
      <c r="M6" s="30" t="s">
        <v>40</v>
      </c>
    </row>
    <row r="8" spans="1:13" ht="15.6" x14ac:dyDescent="0.3">
      <c r="A8" s="33" t="s">
        <v>208</v>
      </c>
      <c r="B8" s="43"/>
      <c r="C8" s="43"/>
      <c r="D8" s="43"/>
      <c r="E8" s="43"/>
      <c r="F8" s="43"/>
      <c r="G8" s="43"/>
      <c r="H8" s="43"/>
      <c r="I8" s="43"/>
      <c r="J8" s="43"/>
    </row>
    <row r="9" spans="1:13" x14ac:dyDescent="0.25">
      <c r="A9" s="34" t="s">
        <v>248</v>
      </c>
      <c r="B9" s="34" t="s">
        <v>249</v>
      </c>
      <c r="C9" s="34" t="s">
        <v>250</v>
      </c>
      <c r="D9" s="34" t="str">
        <f>"0,8563"</f>
        <v>0,8563</v>
      </c>
      <c r="E9" s="34" t="s">
        <v>204</v>
      </c>
      <c r="F9" s="34" t="s">
        <v>194</v>
      </c>
      <c r="G9" s="35" t="s">
        <v>265</v>
      </c>
      <c r="H9" s="35" t="s">
        <v>35</v>
      </c>
      <c r="I9" s="36"/>
      <c r="J9" s="36"/>
      <c r="K9" s="44" t="str">
        <f>"40,0"</f>
        <v>40,0</v>
      </c>
      <c r="L9" s="45" t="str">
        <f>"34,2520"</f>
        <v>34,2520</v>
      </c>
      <c r="M9" s="34" t="s">
        <v>251</v>
      </c>
    </row>
    <row r="10" spans="1:13" x14ac:dyDescent="0.25">
      <c r="A10" s="37" t="s">
        <v>248</v>
      </c>
      <c r="B10" s="37" t="s">
        <v>252</v>
      </c>
      <c r="C10" s="37" t="s">
        <v>250</v>
      </c>
      <c r="D10" s="37" t="str">
        <f>"0,8563"</f>
        <v>0,8563</v>
      </c>
      <c r="E10" s="37" t="s">
        <v>204</v>
      </c>
      <c r="F10" s="37" t="s">
        <v>194</v>
      </c>
      <c r="G10" s="38" t="s">
        <v>265</v>
      </c>
      <c r="H10" s="38" t="s">
        <v>35</v>
      </c>
      <c r="I10" s="39"/>
      <c r="J10" s="39"/>
      <c r="K10" s="46" t="str">
        <f>"40,0"</f>
        <v>40,0</v>
      </c>
      <c r="L10" s="47" t="str">
        <f>"34,2520"</f>
        <v>34,2520</v>
      </c>
      <c r="M10" s="37" t="s">
        <v>251</v>
      </c>
    </row>
    <row r="12" spans="1:13" ht="15.6" x14ac:dyDescent="0.3">
      <c r="A12" s="33" t="s">
        <v>48</v>
      </c>
      <c r="B12" s="43"/>
      <c r="C12" s="43"/>
      <c r="D12" s="43"/>
      <c r="E12" s="43"/>
      <c r="F12" s="43"/>
      <c r="G12" s="43"/>
      <c r="H12" s="43"/>
      <c r="I12" s="43"/>
      <c r="J12" s="43"/>
    </row>
    <row r="13" spans="1:13" x14ac:dyDescent="0.25">
      <c r="A13" s="30" t="s">
        <v>283</v>
      </c>
      <c r="B13" s="30" t="s">
        <v>284</v>
      </c>
      <c r="C13" s="30" t="s">
        <v>285</v>
      </c>
      <c r="D13" s="30" t="str">
        <f>"0,6529"</f>
        <v>0,6529</v>
      </c>
      <c r="E13" s="30" t="s">
        <v>138</v>
      </c>
      <c r="F13" s="30" t="s">
        <v>139</v>
      </c>
      <c r="G13" s="32" t="s">
        <v>35</v>
      </c>
      <c r="H13" s="31" t="s">
        <v>171</v>
      </c>
      <c r="I13" s="32" t="s">
        <v>429</v>
      </c>
      <c r="J13" s="32"/>
      <c r="K13" s="41" t="str">
        <f>"45,0"</f>
        <v>45,0</v>
      </c>
      <c r="L13" s="42" t="str">
        <f>"29,3805"</f>
        <v>29,3805</v>
      </c>
      <c r="M13" s="30" t="s">
        <v>40</v>
      </c>
    </row>
    <row r="15" spans="1:13" ht="15.6" x14ac:dyDescent="0.3">
      <c r="A15" s="33" t="s">
        <v>121</v>
      </c>
      <c r="B15" s="43"/>
      <c r="C15" s="43"/>
      <c r="D15" s="43"/>
      <c r="E15" s="43"/>
      <c r="F15" s="43"/>
      <c r="G15" s="43"/>
      <c r="H15" s="43"/>
      <c r="I15" s="43"/>
      <c r="J15" s="43"/>
    </row>
    <row r="16" spans="1:13" x14ac:dyDescent="0.25">
      <c r="A16" s="30" t="s">
        <v>351</v>
      </c>
      <c r="B16" s="30" t="s">
        <v>296</v>
      </c>
      <c r="C16" s="30" t="s">
        <v>297</v>
      </c>
      <c r="D16" s="30" t="str">
        <f>"0,6286"</f>
        <v>0,6286</v>
      </c>
      <c r="E16" s="30" t="s">
        <v>138</v>
      </c>
      <c r="F16" s="30" t="s">
        <v>139</v>
      </c>
      <c r="G16" s="31" t="s">
        <v>35</v>
      </c>
      <c r="H16" s="31" t="s">
        <v>171</v>
      </c>
      <c r="I16" s="31" t="s">
        <v>215</v>
      </c>
      <c r="J16" s="32"/>
      <c r="K16" s="41" t="str">
        <f>"50,0"</f>
        <v>50,0</v>
      </c>
      <c r="L16" s="42" t="str">
        <f>"31,4300"</f>
        <v>31,4300</v>
      </c>
      <c r="M16" s="30" t="s">
        <v>40</v>
      </c>
    </row>
    <row r="18" spans="1:13" ht="15.6" x14ac:dyDescent="0.3">
      <c r="A18" s="33" t="s">
        <v>85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1:13" x14ac:dyDescent="0.25">
      <c r="A19" s="30" t="s">
        <v>430</v>
      </c>
      <c r="B19" s="30" t="s">
        <v>431</v>
      </c>
      <c r="C19" s="30" t="s">
        <v>432</v>
      </c>
      <c r="D19" s="30" t="str">
        <f>"0,5625"</f>
        <v>0,5625</v>
      </c>
      <c r="E19" s="30" t="s">
        <v>53</v>
      </c>
      <c r="F19" s="30" t="s">
        <v>194</v>
      </c>
      <c r="G19" s="32" t="s">
        <v>215</v>
      </c>
      <c r="H19" s="32"/>
      <c r="I19" s="32"/>
      <c r="J19" s="32"/>
      <c r="K19" s="41" t="str">
        <f>"0.00"</f>
        <v>0.00</v>
      </c>
      <c r="L19" s="42" t="str">
        <f>"0,0000"</f>
        <v>0,0000</v>
      </c>
      <c r="M19" s="30" t="s">
        <v>433</v>
      </c>
    </row>
    <row r="21" spans="1:13" ht="15" x14ac:dyDescent="0.25">
      <c r="E21" s="26" t="s">
        <v>13</v>
      </c>
    </row>
    <row r="22" spans="1:13" ht="15" x14ac:dyDescent="0.25">
      <c r="E22" s="26" t="s">
        <v>14</v>
      </c>
    </row>
    <row r="23" spans="1:13" ht="15" x14ac:dyDescent="0.25">
      <c r="E23" s="26" t="s">
        <v>15</v>
      </c>
    </row>
    <row r="24" spans="1:13" ht="15" x14ac:dyDescent="0.25">
      <c r="E24" s="26" t="s">
        <v>16</v>
      </c>
    </row>
    <row r="25" spans="1:13" ht="15" x14ac:dyDescent="0.25">
      <c r="E25" s="26" t="s">
        <v>16</v>
      </c>
    </row>
    <row r="26" spans="1:13" ht="15" x14ac:dyDescent="0.25">
      <c r="E26" s="26" t="s">
        <v>17</v>
      </c>
    </row>
    <row r="27" spans="1:13" ht="15" x14ac:dyDescent="0.25">
      <c r="E27" s="26"/>
    </row>
    <row r="29" spans="1:13" ht="17.399999999999999" x14ac:dyDescent="0.3">
      <c r="A29" s="28" t="s">
        <v>18</v>
      </c>
      <c r="B29" s="28"/>
    </row>
    <row r="30" spans="1:13" ht="15.6" x14ac:dyDescent="0.3">
      <c r="A30" s="48" t="s">
        <v>94</v>
      </c>
      <c r="B30" s="48"/>
    </row>
    <row r="31" spans="1:13" ht="14.4" x14ac:dyDescent="0.3">
      <c r="A31" s="50"/>
      <c r="B31" s="51" t="s">
        <v>95</v>
      </c>
    </row>
    <row r="32" spans="1:13" ht="13.8" x14ac:dyDescent="0.25">
      <c r="A32" s="52" t="s">
        <v>96</v>
      </c>
      <c r="B32" s="52" t="s">
        <v>97</v>
      </c>
      <c r="C32" s="52" t="s">
        <v>98</v>
      </c>
      <c r="D32" s="52" t="s">
        <v>142</v>
      </c>
      <c r="E32" s="52" t="s">
        <v>100</v>
      </c>
    </row>
    <row r="33" spans="1:5" x14ac:dyDescent="0.25">
      <c r="A33" s="49" t="s">
        <v>247</v>
      </c>
      <c r="B33" s="4" t="s">
        <v>95</v>
      </c>
      <c r="C33" s="4" t="s">
        <v>217</v>
      </c>
      <c r="D33" s="4" t="s">
        <v>35</v>
      </c>
      <c r="E33" s="27" t="s">
        <v>434</v>
      </c>
    </row>
    <row r="34" spans="1:5" x14ac:dyDescent="0.25">
      <c r="A34" s="49" t="s">
        <v>234</v>
      </c>
      <c r="B34" s="4" t="s">
        <v>95</v>
      </c>
      <c r="C34" s="4" t="s">
        <v>184</v>
      </c>
      <c r="D34" s="4" t="s">
        <v>427</v>
      </c>
      <c r="E34" s="27" t="s">
        <v>435</v>
      </c>
    </row>
    <row r="36" spans="1:5" ht="14.4" x14ac:dyDescent="0.3">
      <c r="A36" s="50"/>
      <c r="B36" s="51" t="s">
        <v>116</v>
      </c>
    </row>
    <row r="37" spans="1:5" ht="13.8" x14ac:dyDescent="0.25">
      <c r="A37" s="52" t="s">
        <v>96</v>
      </c>
      <c r="B37" s="52" t="s">
        <v>97</v>
      </c>
      <c r="C37" s="52" t="s">
        <v>98</v>
      </c>
      <c r="D37" s="52" t="s">
        <v>142</v>
      </c>
      <c r="E37" s="52" t="s">
        <v>100</v>
      </c>
    </row>
    <row r="38" spans="1:5" x14ac:dyDescent="0.25">
      <c r="A38" s="49" t="s">
        <v>247</v>
      </c>
      <c r="B38" s="4" t="s">
        <v>117</v>
      </c>
      <c r="C38" s="4" t="s">
        <v>217</v>
      </c>
      <c r="D38" s="4" t="s">
        <v>35</v>
      </c>
      <c r="E38" s="27" t="s">
        <v>434</v>
      </c>
    </row>
    <row r="41" spans="1:5" ht="15.6" x14ac:dyDescent="0.3">
      <c r="A41" s="48" t="s">
        <v>106</v>
      </c>
      <c r="B41" s="48"/>
    </row>
    <row r="42" spans="1:5" ht="14.4" x14ac:dyDescent="0.3">
      <c r="A42" s="50"/>
      <c r="B42" s="51" t="s">
        <v>95</v>
      </c>
    </row>
    <row r="43" spans="1:5" ht="13.8" x14ac:dyDescent="0.25">
      <c r="A43" s="52" t="s">
        <v>96</v>
      </c>
      <c r="B43" s="52" t="s">
        <v>97</v>
      </c>
      <c r="C43" s="52" t="s">
        <v>98</v>
      </c>
      <c r="D43" s="52" t="s">
        <v>142</v>
      </c>
      <c r="E43" s="52" t="s">
        <v>100</v>
      </c>
    </row>
    <row r="44" spans="1:5" x14ac:dyDescent="0.25">
      <c r="A44" s="49" t="s">
        <v>294</v>
      </c>
      <c r="B44" s="4" t="s">
        <v>95</v>
      </c>
      <c r="C44" s="4" t="s">
        <v>129</v>
      </c>
      <c r="D44" s="4" t="s">
        <v>215</v>
      </c>
      <c r="E44" s="27" t="s">
        <v>436</v>
      </c>
    </row>
    <row r="45" spans="1:5" x14ac:dyDescent="0.25">
      <c r="A45" s="49" t="s">
        <v>282</v>
      </c>
      <c r="B45" s="4" t="s">
        <v>95</v>
      </c>
      <c r="C45" s="4" t="s">
        <v>107</v>
      </c>
      <c r="D45" s="4" t="s">
        <v>171</v>
      </c>
      <c r="E45" s="27" t="s">
        <v>437</v>
      </c>
    </row>
  </sheetData>
  <mergeCells count="16">
    <mergeCell ref="A8:J8"/>
    <mergeCell ref="A12:J12"/>
    <mergeCell ref="A15:J15"/>
    <mergeCell ref="A18:J1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9.88671875" style="4" bestFit="1" customWidth="1"/>
    <col min="3" max="3" width="14.88671875" style="4" bestFit="1" customWidth="1"/>
    <col min="4" max="4" width="11.88671875" style="4" bestFit="1" customWidth="1"/>
    <col min="5" max="6" width="21.77734375" style="4" bestFit="1" customWidth="1"/>
    <col min="7" max="9" width="5.5546875" style="3" customWidth="1"/>
    <col min="10" max="10" width="4.5546875" style="3" customWidth="1"/>
    <col min="11" max="11" width="7.6640625" style="27" bestFit="1" customWidth="1"/>
    <col min="12" max="12" width="8.5546875" style="2" bestFit="1" customWidth="1"/>
    <col min="13" max="13" width="16.21875" style="4" bestFit="1" customWidth="1"/>
    <col min="14" max="16384" width="9.109375" style="3"/>
  </cols>
  <sheetData>
    <row r="1" spans="1:13" s="2" customFormat="1" ht="28.95" customHeight="1" x14ac:dyDescent="0.25">
      <c r="A1" s="25" t="s">
        <v>420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 t="s">
        <v>21</v>
      </c>
      <c r="E3" s="18" t="s">
        <v>4</v>
      </c>
      <c r="F3" s="18" t="s">
        <v>8</v>
      </c>
      <c r="G3" s="18" t="s">
        <v>24</v>
      </c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5" spans="1:13" ht="15.6" x14ac:dyDescent="0.3">
      <c r="A5" s="29" t="s">
        <v>208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5">
      <c r="A6" s="34" t="s">
        <v>248</v>
      </c>
      <c r="B6" s="34" t="s">
        <v>249</v>
      </c>
      <c r="C6" s="34" t="s">
        <v>250</v>
      </c>
      <c r="D6" s="34" t="str">
        <f>"0,8563"</f>
        <v>0,8563</v>
      </c>
      <c r="E6" s="34" t="s">
        <v>204</v>
      </c>
      <c r="F6" s="34" t="s">
        <v>194</v>
      </c>
      <c r="G6" s="35" t="s">
        <v>90</v>
      </c>
      <c r="H6" s="35" t="s">
        <v>70</v>
      </c>
      <c r="I6" s="35" t="s">
        <v>405</v>
      </c>
      <c r="J6" s="36"/>
      <c r="K6" s="44" t="str">
        <f>"207,5"</f>
        <v>207,5</v>
      </c>
      <c r="L6" s="45" t="str">
        <f>"177,6822"</f>
        <v>177,6822</v>
      </c>
      <c r="M6" s="34" t="s">
        <v>251</v>
      </c>
    </row>
    <row r="7" spans="1:13" x14ac:dyDescent="0.25">
      <c r="A7" s="53" t="s">
        <v>248</v>
      </c>
      <c r="B7" s="53" t="s">
        <v>252</v>
      </c>
      <c r="C7" s="53" t="s">
        <v>250</v>
      </c>
      <c r="D7" s="53" t="str">
        <f>"0,8563"</f>
        <v>0,8563</v>
      </c>
      <c r="E7" s="53" t="s">
        <v>204</v>
      </c>
      <c r="F7" s="53" t="s">
        <v>194</v>
      </c>
      <c r="G7" s="55" t="s">
        <v>90</v>
      </c>
      <c r="H7" s="55" t="s">
        <v>70</v>
      </c>
      <c r="I7" s="55" t="s">
        <v>405</v>
      </c>
      <c r="J7" s="54"/>
      <c r="K7" s="56" t="str">
        <f>"207,5"</f>
        <v>207,5</v>
      </c>
      <c r="L7" s="57" t="str">
        <f>"177,6822"</f>
        <v>177,6822</v>
      </c>
      <c r="M7" s="53" t="s">
        <v>251</v>
      </c>
    </row>
    <row r="8" spans="1:13" x14ac:dyDescent="0.25">
      <c r="A8" s="37" t="s">
        <v>421</v>
      </c>
      <c r="B8" s="37" t="s">
        <v>227</v>
      </c>
      <c r="C8" s="37" t="s">
        <v>228</v>
      </c>
      <c r="D8" s="37" t="str">
        <f>"0,8547"</f>
        <v>0,8547</v>
      </c>
      <c r="E8" s="37" t="s">
        <v>204</v>
      </c>
      <c r="F8" s="37" t="s">
        <v>194</v>
      </c>
      <c r="G8" s="38" t="s">
        <v>74</v>
      </c>
      <c r="H8" s="39"/>
      <c r="I8" s="39"/>
      <c r="J8" s="39"/>
      <c r="K8" s="46" t="str">
        <f>"170,0"</f>
        <v>170,0</v>
      </c>
      <c r="L8" s="47" t="str">
        <f>"145,2990"</f>
        <v>145,2990</v>
      </c>
      <c r="M8" s="37" t="s">
        <v>40</v>
      </c>
    </row>
    <row r="10" spans="1:13" ht="15" x14ac:dyDescent="0.25">
      <c r="E10" s="26" t="s">
        <v>13</v>
      </c>
    </row>
    <row r="11" spans="1:13" ht="15" x14ac:dyDescent="0.25">
      <c r="E11" s="26" t="s">
        <v>14</v>
      </c>
    </row>
    <row r="12" spans="1:13" ht="15" x14ac:dyDescent="0.25">
      <c r="E12" s="26" t="s">
        <v>15</v>
      </c>
    </row>
    <row r="13" spans="1:13" ht="15" x14ac:dyDescent="0.25">
      <c r="E13" s="26" t="s">
        <v>16</v>
      </c>
    </row>
    <row r="14" spans="1:13" ht="15" x14ac:dyDescent="0.25">
      <c r="E14" s="26" t="s">
        <v>16</v>
      </c>
    </row>
    <row r="15" spans="1:13" ht="15" x14ac:dyDescent="0.25">
      <c r="E15" s="26" t="s">
        <v>17</v>
      </c>
    </row>
    <row r="16" spans="1:13" ht="15" x14ac:dyDescent="0.25">
      <c r="E16" s="26"/>
    </row>
    <row r="18" spans="1:5" ht="17.399999999999999" x14ac:dyDescent="0.3">
      <c r="A18" s="28" t="s">
        <v>18</v>
      </c>
      <c r="B18" s="28"/>
    </row>
    <row r="19" spans="1:5" ht="15.6" x14ac:dyDescent="0.3">
      <c r="A19" s="48" t="s">
        <v>94</v>
      </c>
      <c r="B19" s="48"/>
    </row>
    <row r="20" spans="1:5" ht="14.4" x14ac:dyDescent="0.3">
      <c r="A20" s="50"/>
      <c r="B20" s="51" t="s">
        <v>95</v>
      </c>
    </row>
    <row r="21" spans="1:5" ht="13.8" x14ac:dyDescent="0.25">
      <c r="A21" s="52" t="s">
        <v>96</v>
      </c>
      <c r="B21" s="52" t="s">
        <v>97</v>
      </c>
      <c r="C21" s="52" t="s">
        <v>98</v>
      </c>
      <c r="D21" s="52" t="s">
        <v>142</v>
      </c>
      <c r="E21" s="52" t="s">
        <v>100</v>
      </c>
    </row>
    <row r="22" spans="1:5" x14ac:dyDescent="0.25">
      <c r="A22" s="49" t="s">
        <v>247</v>
      </c>
      <c r="B22" s="4" t="s">
        <v>95</v>
      </c>
      <c r="C22" s="4" t="s">
        <v>217</v>
      </c>
      <c r="D22" s="4" t="s">
        <v>405</v>
      </c>
      <c r="E22" s="27" t="s">
        <v>422</v>
      </c>
    </row>
    <row r="24" spans="1:5" ht="14.4" x14ac:dyDescent="0.3">
      <c r="A24" s="50"/>
      <c r="B24" s="51" t="s">
        <v>116</v>
      </c>
    </row>
    <row r="25" spans="1:5" ht="13.8" x14ac:dyDescent="0.25">
      <c r="A25" s="52" t="s">
        <v>96</v>
      </c>
      <c r="B25" s="52" t="s">
        <v>97</v>
      </c>
      <c r="C25" s="52" t="s">
        <v>98</v>
      </c>
      <c r="D25" s="52" t="s">
        <v>142</v>
      </c>
      <c r="E25" s="52" t="s">
        <v>100</v>
      </c>
    </row>
    <row r="26" spans="1:5" x14ac:dyDescent="0.25">
      <c r="A26" s="49" t="s">
        <v>247</v>
      </c>
      <c r="B26" s="4" t="s">
        <v>117</v>
      </c>
      <c r="C26" s="4" t="s">
        <v>217</v>
      </c>
      <c r="D26" s="4" t="s">
        <v>405</v>
      </c>
      <c r="E26" s="27" t="s">
        <v>422</v>
      </c>
    </row>
    <row r="27" spans="1:5" x14ac:dyDescent="0.25">
      <c r="A27" s="49" t="s">
        <v>225</v>
      </c>
      <c r="B27" s="4" t="s">
        <v>117</v>
      </c>
      <c r="C27" s="4" t="s">
        <v>217</v>
      </c>
      <c r="D27" s="4" t="s">
        <v>74</v>
      </c>
      <c r="E27" s="27" t="s">
        <v>423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6.5546875" style="4" bestFit="1" customWidth="1"/>
    <col min="5" max="5" width="21.77734375" style="4" bestFit="1" customWidth="1"/>
    <col min="6" max="6" width="16.109375" style="4" bestFit="1" customWidth="1"/>
    <col min="7" max="9" width="2.109375" style="3" customWidth="1"/>
    <col min="10" max="10" width="4.5546875" style="3" customWidth="1"/>
    <col min="11" max="11" width="7.6640625" style="27" bestFit="1" customWidth="1"/>
    <col min="12" max="12" width="5.88671875" style="2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5" t="s">
        <v>419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/>
      <c r="E3" s="18" t="s">
        <v>4</v>
      </c>
      <c r="F3" s="18" t="s">
        <v>8</v>
      </c>
      <c r="G3" s="18"/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6" spans="1:13" ht="15" x14ac:dyDescent="0.25">
      <c r="E6" s="26" t="s">
        <v>13</v>
      </c>
    </row>
    <row r="7" spans="1:13" ht="15" x14ac:dyDescent="0.25">
      <c r="E7" s="26" t="s">
        <v>14</v>
      </c>
    </row>
    <row r="8" spans="1:13" ht="15" x14ac:dyDescent="0.25">
      <c r="E8" s="26" t="s">
        <v>15</v>
      </c>
    </row>
    <row r="9" spans="1:13" ht="15" x14ac:dyDescent="0.25">
      <c r="E9" s="26" t="s">
        <v>16</v>
      </c>
    </row>
    <row r="10" spans="1:13" ht="15" x14ac:dyDescent="0.25">
      <c r="E10" s="26" t="s">
        <v>16</v>
      </c>
    </row>
    <row r="11" spans="1:13" ht="15" x14ac:dyDescent="0.25">
      <c r="E11" s="26" t="s">
        <v>17</v>
      </c>
    </row>
    <row r="12" spans="1:13" ht="15" x14ac:dyDescent="0.25">
      <c r="E12" s="26"/>
    </row>
    <row r="14" spans="1:13" ht="17.399999999999999" x14ac:dyDescent="0.3">
      <c r="A14" s="28" t="s">
        <v>18</v>
      </c>
      <c r="B14" s="28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9.88671875" style="4" bestFit="1" customWidth="1"/>
    <col min="3" max="3" width="14.88671875" style="4" bestFit="1" customWidth="1"/>
    <col min="4" max="4" width="11.88671875" style="4" bestFit="1" customWidth="1"/>
    <col min="5" max="5" width="21.77734375" style="4" bestFit="1" customWidth="1"/>
    <col min="6" max="6" width="30.21875" style="4" bestFit="1" customWidth="1"/>
    <col min="7" max="9" width="5.5546875" style="3" customWidth="1"/>
    <col min="10" max="10" width="4.5546875" style="3" customWidth="1"/>
    <col min="11" max="11" width="7.6640625" style="27" bestFit="1" customWidth="1"/>
    <col min="12" max="12" width="8.5546875" style="2" bestFit="1" customWidth="1"/>
    <col min="13" max="13" width="16.21875" style="4" bestFit="1" customWidth="1"/>
    <col min="14" max="16384" width="9.109375" style="3"/>
  </cols>
  <sheetData>
    <row r="1" spans="1:13" s="2" customFormat="1" ht="28.95" customHeight="1" x14ac:dyDescent="0.25">
      <c r="A1" s="25" t="s">
        <v>390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 t="s">
        <v>21</v>
      </c>
      <c r="E3" s="18" t="s">
        <v>4</v>
      </c>
      <c r="F3" s="18" t="s">
        <v>8</v>
      </c>
      <c r="G3" s="18" t="s">
        <v>24</v>
      </c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5" spans="1:13" ht="15.6" x14ac:dyDescent="0.3">
      <c r="A5" s="29" t="s">
        <v>164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5">
      <c r="A6" s="30" t="s">
        <v>166</v>
      </c>
      <c r="B6" s="30" t="s">
        <v>167</v>
      </c>
      <c r="C6" s="30" t="s">
        <v>168</v>
      </c>
      <c r="D6" s="30" t="str">
        <f>"1,1093"</f>
        <v>1,1093</v>
      </c>
      <c r="E6" s="30" t="s">
        <v>53</v>
      </c>
      <c r="F6" s="30" t="s">
        <v>31</v>
      </c>
      <c r="G6" s="31" t="s">
        <v>173</v>
      </c>
      <c r="H6" s="32"/>
      <c r="I6" s="32"/>
      <c r="J6" s="32"/>
      <c r="K6" s="41" t="str">
        <f>"100,0"</f>
        <v>100,0</v>
      </c>
      <c r="L6" s="42" t="str">
        <f>"110,9300"</f>
        <v>110,9300</v>
      </c>
      <c r="M6" s="30" t="s">
        <v>40</v>
      </c>
    </row>
    <row r="8" spans="1:13" ht="15.6" x14ac:dyDescent="0.3">
      <c r="A8" s="33" t="s">
        <v>189</v>
      </c>
      <c r="B8" s="43"/>
      <c r="C8" s="43"/>
      <c r="D8" s="43"/>
      <c r="E8" s="43"/>
      <c r="F8" s="43"/>
      <c r="G8" s="43"/>
      <c r="H8" s="43"/>
      <c r="I8" s="43"/>
      <c r="J8" s="43"/>
    </row>
    <row r="9" spans="1:13" x14ac:dyDescent="0.25">
      <c r="A9" s="30" t="s">
        <v>240</v>
      </c>
      <c r="B9" s="30" t="s">
        <v>241</v>
      </c>
      <c r="C9" s="30" t="s">
        <v>242</v>
      </c>
      <c r="D9" s="30" t="str">
        <f>"1,0439"</f>
        <v>1,0439</v>
      </c>
      <c r="E9" s="30" t="s">
        <v>30</v>
      </c>
      <c r="F9" s="30" t="s">
        <v>31</v>
      </c>
      <c r="G9" s="31" t="s">
        <v>172</v>
      </c>
      <c r="H9" s="31" t="s">
        <v>37</v>
      </c>
      <c r="I9" s="31" t="s">
        <v>173</v>
      </c>
      <c r="J9" s="32"/>
      <c r="K9" s="41" t="str">
        <f>"100,0"</f>
        <v>100,0</v>
      </c>
      <c r="L9" s="42" t="str">
        <f>"104,3900"</f>
        <v>104,3900</v>
      </c>
      <c r="M9" s="30" t="s">
        <v>40</v>
      </c>
    </row>
    <row r="11" spans="1:13" ht="15.6" x14ac:dyDescent="0.3">
      <c r="A11" s="33" t="s">
        <v>25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3" x14ac:dyDescent="0.25">
      <c r="A12" s="30" t="s">
        <v>392</v>
      </c>
      <c r="B12" s="30" t="s">
        <v>393</v>
      </c>
      <c r="C12" s="30" t="s">
        <v>394</v>
      </c>
      <c r="D12" s="30" t="str">
        <f>"1,0263"</f>
        <v>1,0263</v>
      </c>
      <c r="E12" s="30" t="s">
        <v>213</v>
      </c>
      <c r="F12" s="30" t="s">
        <v>214</v>
      </c>
      <c r="G12" s="31" t="s">
        <v>173</v>
      </c>
      <c r="H12" s="31" t="s">
        <v>39</v>
      </c>
      <c r="I12" s="32" t="s">
        <v>47</v>
      </c>
      <c r="J12" s="32"/>
      <c r="K12" s="41" t="str">
        <f>"110,0"</f>
        <v>110,0</v>
      </c>
      <c r="L12" s="42" t="str">
        <f>"112,8930"</f>
        <v>112,8930</v>
      </c>
      <c r="M12" s="30" t="s">
        <v>40</v>
      </c>
    </row>
    <row r="14" spans="1:13" ht="15.6" x14ac:dyDescent="0.3">
      <c r="A14" s="33" t="s">
        <v>41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3" x14ac:dyDescent="0.25">
      <c r="A15" s="30" t="s">
        <v>396</v>
      </c>
      <c r="B15" s="30" t="s">
        <v>397</v>
      </c>
      <c r="C15" s="30" t="s">
        <v>398</v>
      </c>
      <c r="D15" s="30" t="str">
        <f>"0,9300"</f>
        <v>0,9300</v>
      </c>
      <c r="E15" s="30" t="s">
        <v>30</v>
      </c>
      <c r="F15" s="30" t="s">
        <v>31</v>
      </c>
      <c r="G15" s="31" t="s">
        <v>172</v>
      </c>
      <c r="H15" s="31" t="s">
        <v>399</v>
      </c>
      <c r="I15" s="31" t="s">
        <v>277</v>
      </c>
      <c r="J15" s="32"/>
      <c r="K15" s="41" t="str">
        <f>"92,5"</f>
        <v>92,5</v>
      </c>
      <c r="L15" s="42" t="str">
        <f>"86,0250"</f>
        <v>86,0250</v>
      </c>
      <c r="M15" s="30" t="s">
        <v>40</v>
      </c>
    </row>
    <row r="17" spans="1:13" ht="15.6" x14ac:dyDescent="0.3">
      <c r="A17" s="33" t="s">
        <v>208</v>
      </c>
      <c r="B17" s="43"/>
      <c r="C17" s="43"/>
      <c r="D17" s="43"/>
      <c r="E17" s="43"/>
      <c r="F17" s="43"/>
      <c r="G17" s="43"/>
      <c r="H17" s="43"/>
      <c r="I17" s="43"/>
      <c r="J17" s="43"/>
    </row>
    <row r="18" spans="1:13" x14ac:dyDescent="0.25">
      <c r="A18" s="34" t="s">
        <v>248</v>
      </c>
      <c r="B18" s="34" t="s">
        <v>249</v>
      </c>
      <c r="C18" s="34" t="s">
        <v>250</v>
      </c>
      <c r="D18" s="34" t="str">
        <f>"0,8563"</f>
        <v>0,8563</v>
      </c>
      <c r="E18" s="34" t="s">
        <v>204</v>
      </c>
      <c r="F18" s="34" t="s">
        <v>194</v>
      </c>
      <c r="G18" s="35" t="s">
        <v>58</v>
      </c>
      <c r="H18" s="36"/>
      <c r="I18" s="36"/>
      <c r="J18" s="36"/>
      <c r="K18" s="44" t="str">
        <f>"145,0"</f>
        <v>145,0</v>
      </c>
      <c r="L18" s="45" t="str">
        <f>"124,1635"</f>
        <v>124,1635</v>
      </c>
      <c r="M18" s="34" t="s">
        <v>251</v>
      </c>
    </row>
    <row r="19" spans="1:13" x14ac:dyDescent="0.25">
      <c r="A19" s="53" t="s">
        <v>248</v>
      </c>
      <c r="B19" s="53" t="s">
        <v>252</v>
      </c>
      <c r="C19" s="53" t="s">
        <v>250</v>
      </c>
      <c r="D19" s="53" t="str">
        <f>"0,8563"</f>
        <v>0,8563</v>
      </c>
      <c r="E19" s="53" t="s">
        <v>204</v>
      </c>
      <c r="F19" s="53" t="s">
        <v>194</v>
      </c>
      <c r="G19" s="55" t="s">
        <v>58</v>
      </c>
      <c r="H19" s="54"/>
      <c r="I19" s="54"/>
      <c r="J19" s="54"/>
      <c r="K19" s="56" t="str">
        <f>"145,0"</f>
        <v>145,0</v>
      </c>
      <c r="L19" s="57" t="str">
        <f>"124,1635"</f>
        <v>124,1635</v>
      </c>
      <c r="M19" s="53" t="s">
        <v>251</v>
      </c>
    </row>
    <row r="20" spans="1:13" x14ac:dyDescent="0.25">
      <c r="A20" s="37" t="s">
        <v>254</v>
      </c>
      <c r="B20" s="37" t="s">
        <v>255</v>
      </c>
      <c r="C20" s="37" t="s">
        <v>256</v>
      </c>
      <c r="D20" s="37" t="str">
        <f>"0,8515"</f>
        <v>0,8515</v>
      </c>
      <c r="E20" s="37" t="s">
        <v>30</v>
      </c>
      <c r="F20" s="37" t="s">
        <v>31</v>
      </c>
      <c r="G20" s="38" t="s">
        <v>172</v>
      </c>
      <c r="H20" s="38" t="s">
        <v>37</v>
      </c>
      <c r="I20" s="38" t="s">
        <v>173</v>
      </c>
      <c r="J20" s="39"/>
      <c r="K20" s="46" t="str">
        <f>"100,0"</f>
        <v>100,0</v>
      </c>
      <c r="L20" s="47" t="str">
        <f>"96,2195"</f>
        <v>96,2195</v>
      </c>
      <c r="M20" s="37" t="s">
        <v>40</v>
      </c>
    </row>
    <row r="22" spans="1:13" ht="15.6" x14ac:dyDescent="0.3">
      <c r="A22" s="33" t="s">
        <v>208</v>
      </c>
      <c r="B22" s="43"/>
      <c r="C22" s="43"/>
      <c r="D22" s="43"/>
      <c r="E22" s="43"/>
      <c r="F22" s="43"/>
      <c r="G22" s="43"/>
      <c r="H22" s="43"/>
      <c r="I22" s="43"/>
      <c r="J22" s="43"/>
    </row>
    <row r="23" spans="1:13" x14ac:dyDescent="0.25">
      <c r="A23" s="30" t="s">
        <v>401</v>
      </c>
      <c r="B23" s="30" t="s">
        <v>402</v>
      </c>
      <c r="C23" s="30" t="s">
        <v>403</v>
      </c>
      <c r="D23" s="30" t="str">
        <f>"0,6998"</f>
        <v>0,6998</v>
      </c>
      <c r="E23" s="30" t="s">
        <v>68</v>
      </c>
      <c r="F23" s="30" t="s">
        <v>69</v>
      </c>
      <c r="G23" s="31" t="s">
        <v>90</v>
      </c>
      <c r="H23" s="31" t="s">
        <v>404</v>
      </c>
      <c r="I23" s="32" t="s">
        <v>405</v>
      </c>
      <c r="J23" s="32"/>
      <c r="K23" s="41" t="str">
        <f>"202,5"</f>
        <v>202,5</v>
      </c>
      <c r="L23" s="42" t="str">
        <f>"141,6994"</f>
        <v>141,6994</v>
      </c>
      <c r="M23" s="30" t="s">
        <v>40</v>
      </c>
    </row>
    <row r="25" spans="1:13" ht="15.6" x14ac:dyDescent="0.3">
      <c r="A25" s="33" t="s">
        <v>63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3" x14ac:dyDescent="0.25">
      <c r="A26" s="30" t="s">
        <v>407</v>
      </c>
      <c r="B26" s="30" t="s">
        <v>408</v>
      </c>
      <c r="C26" s="30" t="s">
        <v>409</v>
      </c>
      <c r="D26" s="30" t="str">
        <f>"0,5889"</f>
        <v>0,5889</v>
      </c>
      <c r="E26" s="30" t="s">
        <v>213</v>
      </c>
      <c r="F26" s="30" t="s">
        <v>214</v>
      </c>
      <c r="G26" s="31" t="s">
        <v>90</v>
      </c>
      <c r="H26" s="31" t="s">
        <v>127</v>
      </c>
      <c r="I26" s="31" t="s">
        <v>410</v>
      </c>
      <c r="J26" s="32"/>
      <c r="K26" s="41" t="str">
        <f>"232,5"</f>
        <v>232,5</v>
      </c>
      <c r="L26" s="42" t="str">
        <f>"136,9076"</f>
        <v>136,9076</v>
      </c>
      <c r="M26" s="30" t="s">
        <v>40</v>
      </c>
    </row>
    <row r="28" spans="1:13" ht="15" x14ac:dyDescent="0.25">
      <c r="E28" s="26" t="s">
        <v>13</v>
      </c>
    </row>
    <row r="29" spans="1:13" ht="15" x14ac:dyDescent="0.25">
      <c r="E29" s="26" t="s">
        <v>14</v>
      </c>
    </row>
    <row r="30" spans="1:13" ht="15" x14ac:dyDescent="0.25">
      <c r="E30" s="26" t="s">
        <v>15</v>
      </c>
    </row>
    <row r="31" spans="1:13" ht="15" x14ac:dyDescent="0.25">
      <c r="E31" s="26" t="s">
        <v>16</v>
      </c>
    </row>
    <row r="32" spans="1:13" ht="15" x14ac:dyDescent="0.25">
      <c r="E32" s="26" t="s">
        <v>16</v>
      </c>
    </row>
    <row r="33" spans="1:5" ht="15" x14ac:dyDescent="0.25">
      <c r="E33" s="26" t="s">
        <v>17</v>
      </c>
    </row>
    <row r="34" spans="1:5" ht="15" x14ac:dyDescent="0.25">
      <c r="E34" s="26"/>
    </row>
    <row r="36" spans="1:5" ht="17.399999999999999" x14ac:dyDescent="0.3">
      <c r="A36" s="28" t="s">
        <v>18</v>
      </c>
      <c r="B36" s="28"/>
    </row>
    <row r="37" spans="1:5" ht="15.6" x14ac:dyDescent="0.3">
      <c r="A37" s="48" t="s">
        <v>94</v>
      </c>
      <c r="B37" s="48"/>
    </row>
    <row r="38" spans="1:5" ht="14.4" x14ac:dyDescent="0.3">
      <c r="A38" s="50"/>
      <c r="B38" s="51" t="s">
        <v>182</v>
      </c>
    </row>
    <row r="39" spans="1:5" ht="13.8" x14ac:dyDescent="0.25">
      <c r="A39" s="52" t="s">
        <v>96</v>
      </c>
      <c r="B39" s="52" t="s">
        <v>97</v>
      </c>
      <c r="C39" s="52" t="s">
        <v>98</v>
      </c>
      <c r="D39" s="52" t="s">
        <v>142</v>
      </c>
      <c r="E39" s="52" t="s">
        <v>100</v>
      </c>
    </row>
    <row r="40" spans="1:5" x14ac:dyDescent="0.25">
      <c r="A40" s="49" t="s">
        <v>165</v>
      </c>
      <c r="B40" s="4" t="s">
        <v>183</v>
      </c>
      <c r="C40" s="4" t="s">
        <v>184</v>
      </c>
      <c r="D40" s="4" t="s">
        <v>173</v>
      </c>
      <c r="E40" s="27" t="s">
        <v>411</v>
      </c>
    </row>
    <row r="42" spans="1:5" ht="14.4" x14ac:dyDescent="0.3">
      <c r="A42" s="50"/>
      <c r="B42" s="51" t="s">
        <v>95</v>
      </c>
    </row>
    <row r="43" spans="1:5" ht="13.8" x14ac:dyDescent="0.25">
      <c r="A43" s="52" t="s">
        <v>96</v>
      </c>
      <c r="B43" s="52" t="s">
        <v>97</v>
      </c>
      <c r="C43" s="52" t="s">
        <v>98</v>
      </c>
      <c r="D43" s="52" t="s">
        <v>142</v>
      </c>
      <c r="E43" s="52" t="s">
        <v>100</v>
      </c>
    </row>
    <row r="44" spans="1:5" x14ac:dyDescent="0.25">
      <c r="A44" s="49" t="s">
        <v>247</v>
      </c>
      <c r="B44" s="4" t="s">
        <v>95</v>
      </c>
      <c r="C44" s="4" t="s">
        <v>217</v>
      </c>
      <c r="D44" s="4" t="s">
        <v>58</v>
      </c>
      <c r="E44" s="27" t="s">
        <v>412</v>
      </c>
    </row>
    <row r="45" spans="1:5" x14ac:dyDescent="0.25">
      <c r="A45" s="49" t="s">
        <v>391</v>
      </c>
      <c r="B45" s="4" t="s">
        <v>95</v>
      </c>
      <c r="C45" s="4" t="s">
        <v>101</v>
      </c>
      <c r="D45" s="4" t="s">
        <v>39</v>
      </c>
      <c r="E45" s="27" t="s">
        <v>413</v>
      </c>
    </row>
    <row r="46" spans="1:5" x14ac:dyDescent="0.25">
      <c r="A46" s="49" t="s">
        <v>239</v>
      </c>
      <c r="B46" s="4" t="s">
        <v>95</v>
      </c>
      <c r="C46" s="4" t="s">
        <v>221</v>
      </c>
      <c r="D46" s="4" t="s">
        <v>173</v>
      </c>
      <c r="E46" s="27" t="s">
        <v>414</v>
      </c>
    </row>
    <row r="47" spans="1:5" x14ac:dyDescent="0.25">
      <c r="A47" s="49" t="s">
        <v>395</v>
      </c>
      <c r="B47" s="4" t="s">
        <v>95</v>
      </c>
      <c r="C47" s="4" t="s">
        <v>103</v>
      </c>
      <c r="D47" s="4" t="s">
        <v>277</v>
      </c>
      <c r="E47" s="27" t="s">
        <v>415</v>
      </c>
    </row>
    <row r="49" spans="1:5" ht="14.4" x14ac:dyDescent="0.3">
      <c r="A49" s="50"/>
      <c r="B49" s="51" t="s">
        <v>116</v>
      </c>
    </row>
    <row r="50" spans="1:5" ht="13.8" x14ac:dyDescent="0.25">
      <c r="A50" s="52" t="s">
        <v>96</v>
      </c>
      <c r="B50" s="52" t="s">
        <v>97</v>
      </c>
      <c r="C50" s="52" t="s">
        <v>98</v>
      </c>
      <c r="D50" s="52" t="s">
        <v>142</v>
      </c>
      <c r="E50" s="52" t="s">
        <v>100</v>
      </c>
    </row>
    <row r="51" spans="1:5" x14ac:dyDescent="0.25">
      <c r="A51" s="49" t="s">
        <v>247</v>
      </c>
      <c r="B51" s="4" t="s">
        <v>117</v>
      </c>
      <c r="C51" s="4" t="s">
        <v>217</v>
      </c>
      <c r="D51" s="4" t="s">
        <v>58</v>
      </c>
      <c r="E51" s="27" t="s">
        <v>412</v>
      </c>
    </row>
    <row r="52" spans="1:5" x14ac:dyDescent="0.25">
      <c r="A52" s="49" t="s">
        <v>253</v>
      </c>
      <c r="B52" s="4" t="s">
        <v>317</v>
      </c>
      <c r="C52" s="4" t="s">
        <v>217</v>
      </c>
      <c r="D52" s="4" t="s">
        <v>173</v>
      </c>
      <c r="E52" s="27" t="s">
        <v>416</v>
      </c>
    </row>
    <row r="55" spans="1:5" ht="15.6" x14ac:dyDescent="0.3">
      <c r="A55" s="48" t="s">
        <v>106</v>
      </c>
      <c r="B55" s="48"/>
    </row>
    <row r="56" spans="1:5" ht="14.4" x14ac:dyDescent="0.3">
      <c r="A56" s="50"/>
      <c r="B56" s="51" t="s">
        <v>95</v>
      </c>
    </row>
    <row r="57" spans="1:5" ht="13.8" x14ac:dyDescent="0.25">
      <c r="A57" s="52" t="s">
        <v>96</v>
      </c>
      <c r="B57" s="52" t="s">
        <v>97</v>
      </c>
      <c r="C57" s="52" t="s">
        <v>98</v>
      </c>
      <c r="D57" s="52" t="s">
        <v>142</v>
      </c>
      <c r="E57" s="52" t="s">
        <v>100</v>
      </c>
    </row>
    <row r="58" spans="1:5" x14ac:dyDescent="0.25">
      <c r="A58" s="49" t="s">
        <v>400</v>
      </c>
      <c r="B58" s="4" t="s">
        <v>95</v>
      </c>
      <c r="C58" s="4" t="s">
        <v>217</v>
      </c>
      <c r="D58" s="4" t="s">
        <v>404</v>
      </c>
      <c r="E58" s="27" t="s">
        <v>417</v>
      </c>
    </row>
    <row r="59" spans="1:5" x14ac:dyDescent="0.25">
      <c r="A59" s="49" t="s">
        <v>406</v>
      </c>
      <c r="B59" s="4" t="s">
        <v>95</v>
      </c>
      <c r="C59" s="4" t="s">
        <v>110</v>
      </c>
      <c r="D59" s="4" t="s">
        <v>410</v>
      </c>
      <c r="E59" s="27" t="s">
        <v>418</v>
      </c>
    </row>
  </sheetData>
  <mergeCells count="18">
    <mergeCell ref="A8:J8"/>
    <mergeCell ref="A11:J11"/>
    <mergeCell ref="A14:J14"/>
    <mergeCell ref="A17:J17"/>
    <mergeCell ref="A22:J22"/>
    <mergeCell ref="A25:J25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6.5546875" style="4" bestFit="1" customWidth="1"/>
    <col min="5" max="5" width="21.77734375" style="4" bestFit="1" customWidth="1"/>
    <col min="6" max="6" width="16.109375" style="4" bestFit="1" customWidth="1"/>
    <col min="7" max="9" width="2.109375" style="3" customWidth="1"/>
    <col min="10" max="10" width="4.5546875" style="3" customWidth="1"/>
    <col min="11" max="11" width="7.6640625" style="27" bestFit="1" customWidth="1"/>
    <col min="12" max="12" width="5.88671875" style="2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5" t="s">
        <v>389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/>
      <c r="E3" s="18" t="s">
        <v>4</v>
      </c>
      <c r="F3" s="18" t="s">
        <v>8</v>
      </c>
      <c r="G3" s="18"/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6" spans="1:13" ht="15" x14ac:dyDescent="0.25">
      <c r="E6" s="26" t="s">
        <v>13</v>
      </c>
    </row>
    <row r="7" spans="1:13" ht="15" x14ac:dyDescent="0.25">
      <c r="E7" s="26" t="s">
        <v>14</v>
      </c>
    </row>
    <row r="8" spans="1:13" ht="15" x14ac:dyDescent="0.25">
      <c r="E8" s="26" t="s">
        <v>15</v>
      </c>
    </row>
    <row r="9" spans="1:13" ht="15" x14ac:dyDescent="0.25">
      <c r="E9" s="26" t="s">
        <v>16</v>
      </c>
    </row>
    <row r="10" spans="1:13" ht="15" x14ac:dyDescent="0.25">
      <c r="E10" s="26" t="s">
        <v>16</v>
      </c>
    </row>
    <row r="11" spans="1:13" ht="15" x14ac:dyDescent="0.25">
      <c r="E11" s="26" t="s">
        <v>17</v>
      </c>
    </row>
    <row r="12" spans="1:13" ht="15" x14ac:dyDescent="0.25">
      <c r="E12" s="26"/>
    </row>
    <row r="14" spans="1:13" ht="17.399999999999999" x14ac:dyDescent="0.3">
      <c r="A14" s="28" t="s">
        <v>18</v>
      </c>
      <c r="B14" s="28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6.5546875" style="4" bestFit="1" customWidth="1"/>
    <col min="5" max="5" width="21.77734375" style="4" bestFit="1" customWidth="1"/>
    <col min="6" max="6" width="16.109375" style="4" bestFit="1" customWidth="1"/>
    <col min="7" max="9" width="2.109375" style="3" customWidth="1"/>
    <col min="10" max="10" width="4.5546875" style="3" customWidth="1"/>
    <col min="11" max="11" width="7.6640625" style="27" bestFit="1" customWidth="1"/>
    <col min="12" max="12" width="5.88671875" style="2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5" t="s">
        <v>388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/>
      <c r="E3" s="18" t="s">
        <v>4</v>
      </c>
      <c r="F3" s="18" t="s">
        <v>8</v>
      </c>
      <c r="G3" s="18"/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6" spans="1:13" ht="15" x14ac:dyDescent="0.25">
      <c r="E6" s="26" t="s">
        <v>13</v>
      </c>
    </row>
    <row r="7" spans="1:13" ht="15" x14ac:dyDescent="0.25">
      <c r="E7" s="26" t="s">
        <v>14</v>
      </c>
    </row>
    <row r="8" spans="1:13" ht="15" x14ac:dyDescent="0.25">
      <c r="E8" s="26" t="s">
        <v>15</v>
      </c>
    </row>
    <row r="9" spans="1:13" ht="15" x14ac:dyDescent="0.25">
      <c r="E9" s="26" t="s">
        <v>16</v>
      </c>
    </row>
    <row r="10" spans="1:13" ht="15" x14ac:dyDescent="0.25">
      <c r="E10" s="26" t="s">
        <v>16</v>
      </c>
    </row>
    <row r="11" spans="1:13" ht="15" x14ac:dyDescent="0.25">
      <c r="E11" s="26" t="s">
        <v>17</v>
      </c>
    </row>
    <row r="12" spans="1:13" ht="15" x14ac:dyDescent="0.25">
      <c r="E12" s="26"/>
    </row>
    <row r="14" spans="1:13" ht="17.399999999999999" x14ac:dyDescent="0.3">
      <c r="A14" s="28" t="s">
        <v>18</v>
      </c>
      <c r="B14" s="28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11.88671875" style="4" bestFit="1" customWidth="1"/>
    <col min="5" max="5" width="21.77734375" style="4" bestFit="1" customWidth="1"/>
    <col min="6" max="6" width="30.21875" style="4" bestFit="1" customWidth="1"/>
    <col min="7" max="9" width="5.5546875" style="3" customWidth="1"/>
    <col min="10" max="10" width="4.5546875" style="3" customWidth="1"/>
    <col min="11" max="11" width="7.6640625" style="27" bestFit="1" customWidth="1"/>
    <col min="12" max="12" width="8.5546875" style="2" bestFit="1" customWidth="1"/>
    <col min="13" max="13" width="14.44140625" style="4" bestFit="1" customWidth="1"/>
    <col min="14" max="16384" width="9.109375" style="3"/>
  </cols>
  <sheetData>
    <row r="1" spans="1:13" s="2" customFormat="1" ht="28.95" customHeight="1" x14ac:dyDescent="0.25">
      <c r="A1" s="25" t="s">
        <v>373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 t="s">
        <v>21</v>
      </c>
      <c r="E3" s="18" t="s">
        <v>4</v>
      </c>
      <c r="F3" s="18" t="s">
        <v>8</v>
      </c>
      <c r="G3" s="18" t="s">
        <v>24</v>
      </c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5" spans="1:13" ht="15.6" x14ac:dyDescent="0.3">
      <c r="A5" s="29" t="s">
        <v>25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5">
      <c r="A6" s="30" t="s">
        <v>27</v>
      </c>
      <c r="B6" s="30" t="s">
        <v>28</v>
      </c>
      <c r="C6" s="30" t="s">
        <v>29</v>
      </c>
      <c r="D6" s="30" t="str">
        <f>"1,0037"</f>
        <v>1,0037</v>
      </c>
      <c r="E6" s="30" t="s">
        <v>30</v>
      </c>
      <c r="F6" s="30" t="s">
        <v>31</v>
      </c>
      <c r="G6" s="31" t="s">
        <v>39</v>
      </c>
      <c r="H6" s="32"/>
      <c r="I6" s="32"/>
      <c r="J6" s="32"/>
      <c r="K6" s="41" t="str">
        <f>"110,0"</f>
        <v>110,0</v>
      </c>
      <c r="L6" s="42" t="str">
        <f>"110,4070"</f>
        <v>110,4070</v>
      </c>
      <c r="M6" s="30" t="s">
        <v>40</v>
      </c>
    </row>
    <row r="8" spans="1:13" ht="15.6" x14ac:dyDescent="0.3">
      <c r="A8" s="33" t="s">
        <v>41</v>
      </c>
      <c r="B8" s="43"/>
      <c r="C8" s="43"/>
      <c r="D8" s="43"/>
      <c r="E8" s="43"/>
      <c r="F8" s="43"/>
      <c r="G8" s="43"/>
      <c r="H8" s="43"/>
      <c r="I8" s="43"/>
      <c r="J8" s="43"/>
    </row>
    <row r="9" spans="1:13" x14ac:dyDescent="0.25">
      <c r="A9" s="30" t="s">
        <v>43</v>
      </c>
      <c r="B9" s="30" t="s">
        <v>44</v>
      </c>
      <c r="C9" s="30" t="s">
        <v>45</v>
      </c>
      <c r="D9" s="30" t="str">
        <f>"0,9211"</f>
        <v>0,9211</v>
      </c>
      <c r="E9" s="30" t="s">
        <v>30</v>
      </c>
      <c r="F9" s="30" t="s">
        <v>31</v>
      </c>
      <c r="G9" s="31" t="s">
        <v>47</v>
      </c>
      <c r="H9" s="32"/>
      <c r="I9" s="32"/>
      <c r="J9" s="32"/>
      <c r="K9" s="41" t="str">
        <f>"115,0"</f>
        <v>115,0</v>
      </c>
      <c r="L9" s="42" t="str">
        <f>"105,9265"</f>
        <v>105,9265</v>
      </c>
      <c r="M9" s="30" t="s">
        <v>40</v>
      </c>
    </row>
    <row r="11" spans="1:13" ht="15.6" x14ac:dyDescent="0.3">
      <c r="A11" s="33" t="s">
        <v>374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3" x14ac:dyDescent="0.25">
      <c r="A12" s="30" t="s">
        <v>376</v>
      </c>
      <c r="B12" s="30" t="s">
        <v>377</v>
      </c>
      <c r="C12" s="30" t="s">
        <v>378</v>
      </c>
      <c r="D12" s="30" t="str">
        <f>"0,5490"</f>
        <v>0,5490</v>
      </c>
      <c r="E12" s="30" t="s">
        <v>53</v>
      </c>
      <c r="F12" s="30" t="s">
        <v>379</v>
      </c>
      <c r="G12" s="31" t="s">
        <v>380</v>
      </c>
      <c r="H12" s="31" t="s">
        <v>381</v>
      </c>
      <c r="I12" s="32" t="s">
        <v>382</v>
      </c>
      <c r="J12" s="32"/>
      <c r="K12" s="41" t="str">
        <f>"310,0"</f>
        <v>310,0</v>
      </c>
      <c r="L12" s="42" t="str">
        <f>"170,2055"</f>
        <v>170,2055</v>
      </c>
      <c r="M12" s="30" t="s">
        <v>383</v>
      </c>
    </row>
    <row r="14" spans="1:13" ht="15" x14ac:dyDescent="0.25">
      <c r="E14" s="26" t="s">
        <v>13</v>
      </c>
    </row>
    <row r="15" spans="1:13" ht="15" x14ac:dyDescent="0.25">
      <c r="E15" s="26" t="s">
        <v>14</v>
      </c>
    </row>
    <row r="16" spans="1:13" ht="15" x14ac:dyDescent="0.25">
      <c r="E16" s="26" t="s">
        <v>15</v>
      </c>
    </row>
    <row r="17" spans="1:5" ht="15" x14ac:dyDescent="0.25">
      <c r="E17" s="26" t="s">
        <v>16</v>
      </c>
    </row>
    <row r="18" spans="1:5" ht="15" x14ac:dyDescent="0.25">
      <c r="E18" s="26" t="s">
        <v>16</v>
      </c>
    </row>
    <row r="19" spans="1:5" ht="15" x14ac:dyDescent="0.25">
      <c r="E19" s="26" t="s">
        <v>17</v>
      </c>
    </row>
    <row r="20" spans="1:5" ht="15" x14ac:dyDescent="0.25">
      <c r="E20" s="26"/>
    </row>
    <row r="22" spans="1:5" ht="17.399999999999999" x14ac:dyDescent="0.3">
      <c r="A22" s="28" t="s">
        <v>18</v>
      </c>
      <c r="B22" s="28"/>
    </row>
    <row r="23" spans="1:5" ht="15.6" x14ac:dyDescent="0.3">
      <c r="A23" s="48" t="s">
        <v>94</v>
      </c>
      <c r="B23" s="48"/>
    </row>
    <row r="24" spans="1:5" ht="14.4" x14ac:dyDescent="0.3">
      <c r="A24" s="50"/>
      <c r="B24" s="51" t="s">
        <v>95</v>
      </c>
    </row>
    <row r="25" spans="1:5" ht="13.8" x14ac:dyDescent="0.25">
      <c r="A25" s="52" t="s">
        <v>96</v>
      </c>
      <c r="B25" s="52" t="s">
        <v>97</v>
      </c>
      <c r="C25" s="52" t="s">
        <v>98</v>
      </c>
      <c r="D25" s="52" t="s">
        <v>142</v>
      </c>
      <c r="E25" s="52" t="s">
        <v>100</v>
      </c>
    </row>
    <row r="26" spans="1:5" x14ac:dyDescent="0.25">
      <c r="A26" s="49" t="s">
        <v>26</v>
      </c>
      <c r="B26" s="4" t="s">
        <v>95</v>
      </c>
      <c r="C26" s="4" t="s">
        <v>101</v>
      </c>
      <c r="D26" s="4" t="s">
        <v>39</v>
      </c>
      <c r="E26" s="27" t="s">
        <v>384</v>
      </c>
    </row>
    <row r="27" spans="1:5" x14ac:dyDescent="0.25">
      <c r="A27" s="49" t="s">
        <v>42</v>
      </c>
      <c r="B27" s="4" t="s">
        <v>95</v>
      </c>
      <c r="C27" s="4" t="s">
        <v>103</v>
      </c>
      <c r="D27" s="4" t="s">
        <v>47</v>
      </c>
      <c r="E27" s="27" t="s">
        <v>385</v>
      </c>
    </row>
    <row r="30" spans="1:5" ht="15.6" x14ac:dyDescent="0.3">
      <c r="A30" s="48" t="s">
        <v>106</v>
      </c>
      <c r="B30" s="48"/>
    </row>
    <row r="31" spans="1:5" ht="14.4" x14ac:dyDescent="0.3">
      <c r="A31" s="50"/>
      <c r="B31" s="51" t="s">
        <v>95</v>
      </c>
    </row>
    <row r="32" spans="1:5" ht="13.8" x14ac:dyDescent="0.25">
      <c r="A32" s="52" t="s">
        <v>96</v>
      </c>
      <c r="B32" s="52" t="s">
        <v>97</v>
      </c>
      <c r="C32" s="52" t="s">
        <v>98</v>
      </c>
      <c r="D32" s="52" t="s">
        <v>142</v>
      </c>
      <c r="E32" s="52" t="s">
        <v>100</v>
      </c>
    </row>
    <row r="33" spans="1:5" x14ac:dyDescent="0.25">
      <c r="A33" s="49" t="s">
        <v>375</v>
      </c>
      <c r="B33" s="4" t="s">
        <v>95</v>
      </c>
      <c r="C33" s="4" t="s">
        <v>386</v>
      </c>
      <c r="D33" s="4" t="s">
        <v>381</v>
      </c>
      <c r="E33" s="27" t="s">
        <v>387</v>
      </c>
    </row>
  </sheetData>
  <mergeCells count="14">
    <mergeCell ref="A8:J8"/>
    <mergeCell ref="A11:J11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sqref="A1:M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11.88671875" style="4" bestFit="1" customWidth="1"/>
    <col min="5" max="6" width="21.77734375" style="4" bestFit="1" customWidth="1"/>
    <col min="7" max="10" width="4.5546875" style="3" customWidth="1"/>
    <col min="11" max="11" width="7.6640625" style="27" bestFit="1" customWidth="1"/>
    <col min="12" max="12" width="7.5546875" style="2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5" t="s">
        <v>511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 t="s">
        <v>21</v>
      </c>
      <c r="E3" s="18" t="s">
        <v>4</v>
      </c>
      <c r="F3" s="18" t="s">
        <v>8</v>
      </c>
      <c r="G3" s="18" t="s">
        <v>487</v>
      </c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5" spans="1:13" ht="15.6" x14ac:dyDescent="0.3">
      <c r="A5" s="29" t="s">
        <v>488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5">
      <c r="A6" s="34" t="s">
        <v>490</v>
      </c>
      <c r="B6" s="34" t="s">
        <v>491</v>
      </c>
      <c r="C6" s="34" t="s">
        <v>212</v>
      </c>
      <c r="D6" s="34" t="str">
        <f>"0,6885"</f>
        <v>0,6885</v>
      </c>
      <c r="E6" s="34" t="s">
        <v>53</v>
      </c>
      <c r="F6" s="34" t="s">
        <v>194</v>
      </c>
      <c r="G6" s="35" t="s">
        <v>195</v>
      </c>
      <c r="H6" s="35" t="s">
        <v>33</v>
      </c>
      <c r="I6" s="36" t="s">
        <v>34</v>
      </c>
      <c r="J6" s="36"/>
      <c r="K6" s="44" t="str">
        <f>"75,0"</f>
        <v>75,0</v>
      </c>
      <c r="L6" s="45" t="str">
        <f>"51,6412"</f>
        <v>51,6412</v>
      </c>
      <c r="M6" s="34" t="s">
        <v>40</v>
      </c>
    </row>
    <row r="7" spans="1:13" x14ac:dyDescent="0.25">
      <c r="A7" s="37" t="s">
        <v>490</v>
      </c>
      <c r="B7" s="37" t="s">
        <v>494</v>
      </c>
      <c r="C7" s="37" t="s">
        <v>212</v>
      </c>
      <c r="D7" s="37" t="str">
        <f>"0,6885"</f>
        <v>0,6885</v>
      </c>
      <c r="E7" s="37" t="s">
        <v>53</v>
      </c>
      <c r="F7" s="37" t="s">
        <v>194</v>
      </c>
      <c r="G7" s="38" t="s">
        <v>195</v>
      </c>
      <c r="H7" s="38" t="s">
        <v>33</v>
      </c>
      <c r="I7" s="39" t="s">
        <v>34</v>
      </c>
      <c r="J7" s="39"/>
      <c r="K7" s="46" t="str">
        <f>"75,0"</f>
        <v>75,0</v>
      </c>
      <c r="L7" s="47" t="str">
        <f>"51,6412"</f>
        <v>51,6412</v>
      </c>
      <c r="M7" s="37" t="s">
        <v>40</v>
      </c>
    </row>
    <row r="9" spans="1:13" ht="15" x14ac:dyDescent="0.25">
      <c r="E9" s="26" t="s">
        <v>13</v>
      </c>
    </row>
    <row r="10" spans="1:13" ht="15" x14ac:dyDescent="0.25">
      <c r="E10" s="26" t="s">
        <v>14</v>
      </c>
    </row>
    <row r="11" spans="1:13" ht="15" x14ac:dyDescent="0.25">
      <c r="E11" s="26" t="s">
        <v>15</v>
      </c>
    </row>
    <row r="12" spans="1:13" ht="15" x14ac:dyDescent="0.25">
      <c r="E12" s="26" t="s">
        <v>16</v>
      </c>
    </row>
    <row r="13" spans="1:13" ht="15" x14ac:dyDescent="0.25">
      <c r="E13" s="26" t="s">
        <v>16</v>
      </c>
    </row>
    <row r="14" spans="1:13" ht="15" x14ac:dyDescent="0.25">
      <c r="E14" s="26" t="s">
        <v>17</v>
      </c>
    </row>
    <row r="15" spans="1:13" ht="15" x14ac:dyDescent="0.25">
      <c r="E15" s="26"/>
    </row>
    <row r="17" spans="1:5" ht="17.399999999999999" x14ac:dyDescent="0.3">
      <c r="A17" s="28" t="s">
        <v>18</v>
      </c>
      <c r="B17" s="28"/>
    </row>
    <row r="18" spans="1:5" ht="15.6" x14ac:dyDescent="0.3">
      <c r="A18" s="48" t="s">
        <v>106</v>
      </c>
      <c r="B18" s="48"/>
    </row>
    <row r="19" spans="1:5" ht="14.4" x14ac:dyDescent="0.3">
      <c r="A19" s="50"/>
      <c r="B19" s="51" t="s">
        <v>495</v>
      </c>
    </row>
    <row r="20" spans="1:5" ht="13.8" x14ac:dyDescent="0.25">
      <c r="A20" s="52" t="s">
        <v>96</v>
      </c>
      <c r="B20" s="52" t="s">
        <v>97</v>
      </c>
      <c r="C20" s="52" t="s">
        <v>98</v>
      </c>
      <c r="D20" s="52" t="s">
        <v>142</v>
      </c>
      <c r="E20" s="52" t="s">
        <v>100</v>
      </c>
    </row>
    <row r="21" spans="1:5" x14ac:dyDescent="0.25">
      <c r="A21" s="49" t="s">
        <v>489</v>
      </c>
      <c r="B21" s="4" t="s">
        <v>495</v>
      </c>
      <c r="C21" s="4" t="s">
        <v>496</v>
      </c>
      <c r="D21" s="4" t="s">
        <v>33</v>
      </c>
      <c r="E21" s="27" t="s">
        <v>512</v>
      </c>
    </row>
    <row r="23" spans="1:5" ht="14.4" x14ac:dyDescent="0.3">
      <c r="A23" s="50"/>
      <c r="B23" s="51" t="s">
        <v>95</v>
      </c>
    </row>
    <row r="24" spans="1:5" ht="13.8" x14ac:dyDescent="0.25">
      <c r="A24" s="52" t="s">
        <v>96</v>
      </c>
      <c r="B24" s="52" t="s">
        <v>97</v>
      </c>
      <c r="C24" s="52" t="s">
        <v>98</v>
      </c>
      <c r="D24" s="52" t="s">
        <v>142</v>
      </c>
      <c r="E24" s="52" t="s">
        <v>100</v>
      </c>
    </row>
    <row r="25" spans="1:5" x14ac:dyDescent="0.25">
      <c r="A25" s="49" t="s">
        <v>489</v>
      </c>
      <c r="B25" s="4" t="s">
        <v>95</v>
      </c>
      <c r="C25" s="4" t="s">
        <v>496</v>
      </c>
      <c r="D25" s="4" t="s">
        <v>33</v>
      </c>
      <c r="E25" s="27" t="s">
        <v>512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6.5546875" style="4" bestFit="1" customWidth="1"/>
    <col min="5" max="5" width="21.77734375" style="4" bestFit="1" customWidth="1"/>
    <col min="6" max="6" width="16.109375" style="4" bestFit="1" customWidth="1"/>
    <col min="7" max="9" width="2.109375" style="3" customWidth="1"/>
    <col min="10" max="10" width="4.5546875" style="3" customWidth="1"/>
    <col min="11" max="11" width="7.6640625" style="27" bestFit="1" customWidth="1"/>
    <col min="12" max="12" width="5.88671875" style="2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5" t="s">
        <v>372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/>
      <c r="E3" s="18" t="s">
        <v>4</v>
      </c>
      <c r="F3" s="18" t="s">
        <v>8</v>
      </c>
      <c r="G3" s="18"/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6" spans="1:13" ht="15" x14ac:dyDescent="0.25">
      <c r="E6" s="26" t="s">
        <v>13</v>
      </c>
    </row>
    <row r="7" spans="1:13" ht="15" x14ac:dyDescent="0.25">
      <c r="E7" s="26" t="s">
        <v>14</v>
      </c>
    </row>
    <row r="8" spans="1:13" ht="15" x14ac:dyDescent="0.25">
      <c r="E8" s="26" t="s">
        <v>15</v>
      </c>
    </row>
    <row r="9" spans="1:13" ht="15" x14ac:dyDescent="0.25">
      <c r="E9" s="26" t="s">
        <v>16</v>
      </c>
    </row>
    <row r="10" spans="1:13" ht="15" x14ac:dyDescent="0.25">
      <c r="E10" s="26" t="s">
        <v>16</v>
      </c>
    </row>
    <row r="11" spans="1:13" ht="15" x14ac:dyDescent="0.25">
      <c r="E11" s="26" t="s">
        <v>17</v>
      </c>
    </row>
    <row r="12" spans="1:13" ht="15" x14ac:dyDescent="0.25">
      <c r="E12" s="26"/>
    </row>
    <row r="14" spans="1:13" ht="17.399999999999999" x14ac:dyDescent="0.3">
      <c r="A14" s="28" t="s">
        <v>18</v>
      </c>
      <c r="B14" s="28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9.88671875" style="4" bestFit="1" customWidth="1"/>
    <col min="3" max="3" width="14.88671875" style="4" bestFit="1" customWidth="1"/>
    <col min="4" max="4" width="11.88671875" style="4" bestFit="1" customWidth="1"/>
    <col min="5" max="5" width="21.77734375" style="4" bestFit="1" customWidth="1"/>
    <col min="6" max="6" width="38.21875" style="4" bestFit="1" customWidth="1"/>
    <col min="7" max="9" width="5.5546875" style="3" customWidth="1"/>
    <col min="10" max="10" width="4.5546875" style="3" customWidth="1"/>
    <col min="11" max="11" width="7.6640625" style="27" bestFit="1" customWidth="1"/>
    <col min="12" max="12" width="8.5546875" style="2" bestFit="1" customWidth="1"/>
    <col min="13" max="13" width="16.21875" style="4" bestFit="1" customWidth="1"/>
    <col min="14" max="16384" width="9.109375" style="3"/>
  </cols>
  <sheetData>
    <row r="1" spans="1:13" s="2" customFormat="1" ht="28.95" customHeight="1" x14ac:dyDescent="0.25">
      <c r="A1" s="25" t="s">
        <v>334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 t="s">
        <v>21</v>
      </c>
      <c r="E3" s="18" t="s">
        <v>4</v>
      </c>
      <c r="F3" s="18" t="s">
        <v>8</v>
      </c>
      <c r="G3" s="18" t="s">
        <v>23</v>
      </c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5" spans="1:13" ht="15.6" x14ac:dyDescent="0.3">
      <c r="A5" s="29" t="s">
        <v>208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5">
      <c r="A6" s="34" t="s">
        <v>248</v>
      </c>
      <c r="B6" s="34" t="s">
        <v>249</v>
      </c>
      <c r="C6" s="34" t="s">
        <v>250</v>
      </c>
      <c r="D6" s="34" t="str">
        <f>"0,8563"</f>
        <v>0,8563</v>
      </c>
      <c r="E6" s="34" t="s">
        <v>204</v>
      </c>
      <c r="F6" s="34" t="s">
        <v>194</v>
      </c>
      <c r="G6" s="35" t="s">
        <v>335</v>
      </c>
      <c r="H6" s="35" t="s">
        <v>180</v>
      </c>
      <c r="I6" s="35" t="s">
        <v>128</v>
      </c>
      <c r="J6" s="36"/>
      <c r="K6" s="44" t="str">
        <f>"135,0"</f>
        <v>135,0</v>
      </c>
      <c r="L6" s="45" t="str">
        <f>"115,6005"</f>
        <v>115,6005</v>
      </c>
      <c r="M6" s="34" t="s">
        <v>251</v>
      </c>
    </row>
    <row r="7" spans="1:13" x14ac:dyDescent="0.25">
      <c r="A7" s="37" t="s">
        <v>248</v>
      </c>
      <c r="B7" s="37" t="s">
        <v>252</v>
      </c>
      <c r="C7" s="37" t="s">
        <v>250</v>
      </c>
      <c r="D7" s="37" t="str">
        <f>"0,8563"</f>
        <v>0,8563</v>
      </c>
      <c r="E7" s="37" t="s">
        <v>204</v>
      </c>
      <c r="F7" s="37" t="s">
        <v>194</v>
      </c>
      <c r="G7" s="38" t="s">
        <v>335</v>
      </c>
      <c r="H7" s="38" t="s">
        <v>180</v>
      </c>
      <c r="I7" s="38" t="s">
        <v>128</v>
      </c>
      <c r="J7" s="39"/>
      <c r="K7" s="46" t="str">
        <f>"135,0"</f>
        <v>135,0</v>
      </c>
      <c r="L7" s="47" t="str">
        <f>"115,6005"</f>
        <v>115,6005</v>
      </c>
      <c r="M7" s="37" t="s">
        <v>251</v>
      </c>
    </row>
    <row r="9" spans="1:13" ht="15.6" x14ac:dyDescent="0.3">
      <c r="A9" s="33" t="s">
        <v>208</v>
      </c>
      <c r="B9" s="43"/>
      <c r="C9" s="43"/>
      <c r="D9" s="43"/>
      <c r="E9" s="43"/>
      <c r="F9" s="43"/>
      <c r="G9" s="43"/>
      <c r="H9" s="43"/>
      <c r="I9" s="43"/>
      <c r="J9" s="43"/>
    </row>
    <row r="10" spans="1:13" x14ac:dyDescent="0.25">
      <c r="A10" s="30" t="s">
        <v>337</v>
      </c>
      <c r="B10" s="30" t="s">
        <v>338</v>
      </c>
      <c r="C10" s="30" t="s">
        <v>339</v>
      </c>
      <c r="D10" s="30" t="str">
        <f>"0,6975"</f>
        <v>0,6975</v>
      </c>
      <c r="E10" s="30" t="s">
        <v>68</v>
      </c>
      <c r="F10" s="30" t="s">
        <v>69</v>
      </c>
      <c r="G10" s="31" t="s">
        <v>75</v>
      </c>
      <c r="H10" s="31" t="s">
        <v>340</v>
      </c>
      <c r="I10" s="32" t="s">
        <v>341</v>
      </c>
      <c r="J10" s="32"/>
      <c r="K10" s="41" t="str">
        <f>"182,5"</f>
        <v>182,5</v>
      </c>
      <c r="L10" s="42" t="str">
        <f>"127,3029"</f>
        <v>127,3029</v>
      </c>
      <c r="M10" s="30" t="s">
        <v>40</v>
      </c>
    </row>
    <row r="12" spans="1:13" ht="15.6" x14ac:dyDescent="0.3">
      <c r="A12" s="33" t="s">
        <v>48</v>
      </c>
      <c r="B12" s="43"/>
      <c r="C12" s="43"/>
      <c r="D12" s="43"/>
      <c r="E12" s="43"/>
      <c r="F12" s="43"/>
      <c r="G12" s="43"/>
      <c r="H12" s="43"/>
      <c r="I12" s="43"/>
      <c r="J12" s="43"/>
    </row>
    <row r="13" spans="1:13" x14ac:dyDescent="0.25">
      <c r="A13" s="34" t="s">
        <v>283</v>
      </c>
      <c r="B13" s="34" t="s">
        <v>284</v>
      </c>
      <c r="C13" s="34" t="s">
        <v>285</v>
      </c>
      <c r="D13" s="34" t="str">
        <f>"0,6529"</f>
        <v>0,6529</v>
      </c>
      <c r="E13" s="34" t="s">
        <v>138</v>
      </c>
      <c r="F13" s="34" t="s">
        <v>139</v>
      </c>
      <c r="G13" s="35" t="s">
        <v>70</v>
      </c>
      <c r="H13" s="36" t="s">
        <v>71</v>
      </c>
      <c r="I13" s="36" t="s">
        <v>71</v>
      </c>
      <c r="J13" s="36"/>
      <c r="K13" s="44" t="str">
        <f>"200,0"</f>
        <v>200,0</v>
      </c>
      <c r="L13" s="45" t="str">
        <f>"130,5800"</f>
        <v>130,5800</v>
      </c>
      <c r="M13" s="34" t="s">
        <v>40</v>
      </c>
    </row>
    <row r="14" spans="1:13" x14ac:dyDescent="0.25">
      <c r="A14" s="53" t="s">
        <v>343</v>
      </c>
      <c r="B14" s="53" t="s">
        <v>344</v>
      </c>
      <c r="C14" s="53" t="s">
        <v>153</v>
      </c>
      <c r="D14" s="53" t="str">
        <f>"0,6503"</f>
        <v>0,6503</v>
      </c>
      <c r="E14" s="53" t="s">
        <v>53</v>
      </c>
      <c r="F14" s="53" t="s">
        <v>345</v>
      </c>
      <c r="G14" s="55"/>
      <c r="H14" s="54" t="s">
        <v>70</v>
      </c>
      <c r="I14" s="54" t="s">
        <v>70</v>
      </c>
      <c r="J14" s="54"/>
      <c r="K14" s="56" t="str">
        <f>"172,5"</f>
        <v>172,5</v>
      </c>
      <c r="L14" s="57" t="str">
        <f>"112,1681"</f>
        <v>112,1681</v>
      </c>
      <c r="M14" s="53" t="s">
        <v>40</v>
      </c>
    </row>
    <row r="15" spans="1:13" x14ac:dyDescent="0.25">
      <c r="A15" s="37" t="s">
        <v>347</v>
      </c>
      <c r="B15" s="37" t="s">
        <v>348</v>
      </c>
      <c r="C15" s="37" t="s">
        <v>349</v>
      </c>
      <c r="D15" s="37" t="str">
        <f>"0,6482"</f>
        <v>0,6482</v>
      </c>
      <c r="E15" s="37" t="s">
        <v>53</v>
      </c>
      <c r="F15" s="37" t="s">
        <v>69</v>
      </c>
      <c r="G15" s="39"/>
      <c r="H15" s="38" t="s">
        <v>91</v>
      </c>
      <c r="I15" s="38" t="s">
        <v>350</v>
      </c>
      <c r="J15" s="39"/>
      <c r="K15" s="46" t="str">
        <f>"172,5"</f>
        <v>172,5</v>
      </c>
      <c r="L15" s="47" t="str">
        <f>"111,8145"</f>
        <v>111,8145</v>
      </c>
      <c r="M15" s="37" t="s">
        <v>40</v>
      </c>
    </row>
    <row r="17" spans="1:13" ht="15.6" x14ac:dyDescent="0.3">
      <c r="A17" s="33" t="s">
        <v>121</v>
      </c>
      <c r="B17" s="43"/>
      <c r="C17" s="43"/>
      <c r="D17" s="43"/>
      <c r="E17" s="43"/>
      <c r="F17" s="43"/>
      <c r="G17" s="43"/>
      <c r="H17" s="43"/>
      <c r="I17" s="43"/>
      <c r="J17" s="43"/>
    </row>
    <row r="18" spans="1:13" x14ac:dyDescent="0.25">
      <c r="A18" s="30" t="s">
        <v>351</v>
      </c>
      <c r="B18" s="30" t="s">
        <v>296</v>
      </c>
      <c r="C18" s="30" t="s">
        <v>297</v>
      </c>
      <c r="D18" s="30" t="str">
        <f>"0,6286"</f>
        <v>0,6286</v>
      </c>
      <c r="E18" s="30" t="s">
        <v>138</v>
      </c>
      <c r="F18" s="30" t="s">
        <v>139</v>
      </c>
      <c r="G18" s="31" t="s">
        <v>59</v>
      </c>
      <c r="H18" s="32" t="s">
        <v>310</v>
      </c>
      <c r="I18" s="32" t="s">
        <v>310</v>
      </c>
      <c r="J18" s="32"/>
      <c r="K18" s="41" t="str">
        <f>"150,0"</f>
        <v>150,0</v>
      </c>
      <c r="L18" s="42" t="str">
        <f>"94,2900"</f>
        <v>94,2900</v>
      </c>
      <c r="M18" s="30" t="s">
        <v>40</v>
      </c>
    </row>
    <row r="20" spans="1:13" ht="15.6" x14ac:dyDescent="0.3">
      <c r="A20" s="33" t="s">
        <v>63</v>
      </c>
      <c r="B20" s="43"/>
      <c r="C20" s="43"/>
      <c r="D20" s="43"/>
      <c r="E20" s="43"/>
      <c r="F20" s="43"/>
      <c r="G20" s="43"/>
      <c r="H20" s="43"/>
      <c r="I20" s="43"/>
      <c r="J20" s="43"/>
    </row>
    <row r="21" spans="1:13" x14ac:dyDescent="0.25">
      <c r="A21" s="30" t="s">
        <v>353</v>
      </c>
      <c r="B21" s="30" t="s">
        <v>354</v>
      </c>
      <c r="C21" s="30" t="s">
        <v>355</v>
      </c>
      <c r="D21" s="30" t="str">
        <f>"0,5902"</f>
        <v>0,5902</v>
      </c>
      <c r="E21" s="30" t="s">
        <v>68</v>
      </c>
      <c r="F21" s="30" t="s">
        <v>69</v>
      </c>
      <c r="G21" s="31" t="s">
        <v>84</v>
      </c>
      <c r="H21" s="31" t="s">
        <v>356</v>
      </c>
      <c r="I21" s="32"/>
      <c r="J21" s="32"/>
      <c r="K21" s="41" t="str">
        <f>"255,0"</f>
        <v>255,0</v>
      </c>
      <c r="L21" s="42" t="str">
        <f>"162,8421"</f>
        <v>162,8421</v>
      </c>
      <c r="M21" s="30" t="s">
        <v>40</v>
      </c>
    </row>
    <row r="23" spans="1:13" ht="15.6" x14ac:dyDescent="0.3">
      <c r="A23" s="33" t="s">
        <v>85</v>
      </c>
      <c r="B23" s="43"/>
      <c r="C23" s="43"/>
      <c r="D23" s="43"/>
      <c r="E23" s="43"/>
      <c r="F23" s="43"/>
      <c r="G23" s="43"/>
      <c r="H23" s="43"/>
      <c r="I23" s="43"/>
      <c r="J23" s="43"/>
    </row>
    <row r="24" spans="1:13" x14ac:dyDescent="0.25">
      <c r="A24" s="34" t="s">
        <v>358</v>
      </c>
      <c r="B24" s="34" t="s">
        <v>359</v>
      </c>
      <c r="C24" s="34" t="s">
        <v>360</v>
      </c>
      <c r="D24" s="34" t="str">
        <f>"0,5738"</f>
        <v>0,5738</v>
      </c>
      <c r="E24" s="34" t="s">
        <v>30</v>
      </c>
      <c r="F24" s="34" t="s">
        <v>270</v>
      </c>
      <c r="G24" s="36" t="s">
        <v>70</v>
      </c>
      <c r="H24" s="35" t="s">
        <v>70</v>
      </c>
      <c r="I24" s="36" t="s">
        <v>127</v>
      </c>
      <c r="J24" s="36"/>
      <c r="K24" s="44" t="str">
        <f>"200,0"</f>
        <v>200,0</v>
      </c>
      <c r="L24" s="45" t="str">
        <f>"114,7600"</f>
        <v>114,7600</v>
      </c>
      <c r="M24" s="34" t="s">
        <v>40</v>
      </c>
    </row>
    <row r="25" spans="1:13" x14ac:dyDescent="0.25">
      <c r="A25" s="37" t="s">
        <v>358</v>
      </c>
      <c r="B25" s="37" t="s">
        <v>361</v>
      </c>
      <c r="C25" s="37" t="s">
        <v>360</v>
      </c>
      <c r="D25" s="37" t="str">
        <f>"0,5738"</f>
        <v>0,5738</v>
      </c>
      <c r="E25" s="37" t="s">
        <v>30</v>
      </c>
      <c r="F25" s="37" t="s">
        <v>270</v>
      </c>
      <c r="G25" s="39" t="s">
        <v>70</v>
      </c>
      <c r="H25" s="38" t="s">
        <v>70</v>
      </c>
      <c r="I25" s="39" t="s">
        <v>127</v>
      </c>
      <c r="J25" s="39"/>
      <c r="K25" s="46" t="str">
        <f>"200,0"</f>
        <v>200,0</v>
      </c>
      <c r="L25" s="47" t="str">
        <f>"140,5810"</f>
        <v>140,5810</v>
      </c>
      <c r="M25" s="37" t="s">
        <v>40</v>
      </c>
    </row>
    <row r="27" spans="1:13" ht="15" x14ac:dyDescent="0.25">
      <c r="E27" s="26" t="s">
        <v>13</v>
      </c>
    </row>
    <row r="28" spans="1:13" ht="15" x14ac:dyDescent="0.25">
      <c r="E28" s="26" t="s">
        <v>14</v>
      </c>
    </row>
    <row r="29" spans="1:13" ht="15" x14ac:dyDescent="0.25">
      <c r="E29" s="26" t="s">
        <v>15</v>
      </c>
    </row>
    <row r="30" spans="1:13" ht="15" x14ac:dyDescent="0.25">
      <c r="E30" s="26" t="s">
        <v>16</v>
      </c>
    </row>
    <row r="31" spans="1:13" ht="15" x14ac:dyDescent="0.25">
      <c r="E31" s="26" t="s">
        <v>16</v>
      </c>
    </row>
    <row r="32" spans="1:13" ht="15" x14ac:dyDescent="0.25">
      <c r="E32" s="26" t="s">
        <v>17</v>
      </c>
    </row>
    <row r="33" spans="1:5" ht="15" x14ac:dyDescent="0.25">
      <c r="E33" s="26"/>
    </row>
    <row r="35" spans="1:5" ht="17.399999999999999" x14ac:dyDescent="0.3">
      <c r="A35" s="28" t="s">
        <v>18</v>
      </c>
      <c r="B35" s="28"/>
    </row>
    <row r="36" spans="1:5" ht="15.6" x14ac:dyDescent="0.3">
      <c r="A36" s="48" t="s">
        <v>94</v>
      </c>
      <c r="B36" s="48"/>
    </row>
    <row r="37" spans="1:5" ht="14.4" x14ac:dyDescent="0.3">
      <c r="A37" s="50"/>
      <c r="B37" s="51" t="s">
        <v>95</v>
      </c>
    </row>
    <row r="38" spans="1:5" ht="13.8" x14ac:dyDescent="0.25">
      <c r="A38" s="52" t="s">
        <v>96</v>
      </c>
      <c r="B38" s="52" t="s">
        <v>97</v>
      </c>
      <c r="C38" s="52" t="s">
        <v>98</v>
      </c>
      <c r="D38" s="52" t="s">
        <v>142</v>
      </c>
      <c r="E38" s="52" t="s">
        <v>100</v>
      </c>
    </row>
    <row r="39" spans="1:5" x14ac:dyDescent="0.25">
      <c r="A39" s="49" t="s">
        <v>247</v>
      </c>
      <c r="B39" s="4" t="s">
        <v>95</v>
      </c>
      <c r="C39" s="4" t="s">
        <v>217</v>
      </c>
      <c r="D39" s="4" t="s">
        <v>128</v>
      </c>
      <c r="E39" s="27" t="s">
        <v>362</v>
      </c>
    </row>
    <row r="41" spans="1:5" ht="14.4" x14ac:dyDescent="0.3">
      <c r="A41" s="50"/>
      <c r="B41" s="51" t="s">
        <v>116</v>
      </c>
    </row>
    <row r="42" spans="1:5" ht="13.8" x14ac:dyDescent="0.25">
      <c r="A42" s="52" t="s">
        <v>96</v>
      </c>
      <c r="B42" s="52" t="s">
        <v>97</v>
      </c>
      <c r="C42" s="52" t="s">
        <v>98</v>
      </c>
      <c r="D42" s="52" t="s">
        <v>142</v>
      </c>
      <c r="E42" s="52" t="s">
        <v>100</v>
      </c>
    </row>
    <row r="43" spans="1:5" x14ac:dyDescent="0.25">
      <c r="A43" s="49" t="s">
        <v>247</v>
      </c>
      <c r="B43" s="4" t="s">
        <v>117</v>
      </c>
      <c r="C43" s="4" t="s">
        <v>217</v>
      </c>
      <c r="D43" s="4" t="s">
        <v>128</v>
      </c>
      <c r="E43" s="27" t="s">
        <v>362</v>
      </c>
    </row>
    <row r="46" spans="1:5" ht="15.6" x14ac:dyDescent="0.3">
      <c r="A46" s="48" t="s">
        <v>106</v>
      </c>
      <c r="B46" s="48"/>
    </row>
    <row r="47" spans="1:5" ht="14.4" x14ac:dyDescent="0.3">
      <c r="A47" s="50"/>
      <c r="B47" s="51" t="s">
        <v>95</v>
      </c>
    </row>
    <row r="48" spans="1:5" ht="13.8" x14ac:dyDescent="0.25">
      <c r="A48" s="52" t="s">
        <v>96</v>
      </c>
      <c r="B48" s="52" t="s">
        <v>97</v>
      </c>
      <c r="C48" s="52" t="s">
        <v>98</v>
      </c>
      <c r="D48" s="52" t="s">
        <v>142</v>
      </c>
      <c r="E48" s="52" t="s">
        <v>100</v>
      </c>
    </row>
    <row r="49" spans="1:5" x14ac:dyDescent="0.25">
      <c r="A49" s="49" t="s">
        <v>282</v>
      </c>
      <c r="B49" s="4" t="s">
        <v>95</v>
      </c>
      <c r="C49" s="4" t="s">
        <v>107</v>
      </c>
      <c r="D49" s="4" t="s">
        <v>70</v>
      </c>
      <c r="E49" s="27" t="s">
        <v>363</v>
      </c>
    </row>
    <row r="50" spans="1:5" x14ac:dyDescent="0.25">
      <c r="A50" s="49" t="s">
        <v>336</v>
      </c>
      <c r="B50" s="4" t="s">
        <v>95</v>
      </c>
      <c r="C50" s="4" t="s">
        <v>217</v>
      </c>
      <c r="D50" s="4" t="s">
        <v>340</v>
      </c>
      <c r="E50" s="27" t="s">
        <v>364</v>
      </c>
    </row>
    <row r="51" spans="1:5" x14ac:dyDescent="0.25">
      <c r="A51" s="49" t="s">
        <v>357</v>
      </c>
      <c r="B51" s="4" t="s">
        <v>95</v>
      </c>
      <c r="C51" s="4" t="s">
        <v>113</v>
      </c>
      <c r="D51" s="4" t="s">
        <v>70</v>
      </c>
      <c r="E51" s="27" t="s">
        <v>365</v>
      </c>
    </row>
    <row r="52" spans="1:5" x14ac:dyDescent="0.25">
      <c r="A52" s="49" t="s">
        <v>342</v>
      </c>
      <c r="B52" s="4" t="s">
        <v>95</v>
      </c>
      <c r="C52" s="4" t="s">
        <v>107</v>
      </c>
      <c r="D52" s="4" t="s">
        <v>350</v>
      </c>
      <c r="E52" s="27" t="s">
        <v>366</v>
      </c>
    </row>
    <row r="53" spans="1:5" x14ac:dyDescent="0.25">
      <c r="A53" s="49" t="s">
        <v>346</v>
      </c>
      <c r="B53" s="4" t="s">
        <v>95</v>
      </c>
      <c r="C53" s="4" t="s">
        <v>107</v>
      </c>
      <c r="D53" s="4" t="s">
        <v>350</v>
      </c>
      <c r="E53" s="27" t="s">
        <v>367</v>
      </c>
    </row>
    <row r="54" spans="1:5" x14ac:dyDescent="0.25">
      <c r="A54" s="49" t="s">
        <v>294</v>
      </c>
      <c r="B54" s="4" t="s">
        <v>95</v>
      </c>
      <c r="C54" s="4" t="s">
        <v>129</v>
      </c>
      <c r="D54" s="4" t="s">
        <v>59</v>
      </c>
      <c r="E54" s="27" t="s">
        <v>368</v>
      </c>
    </row>
    <row r="56" spans="1:5" ht="14.4" x14ac:dyDescent="0.3">
      <c r="A56" s="50"/>
      <c r="B56" s="51" t="s">
        <v>116</v>
      </c>
    </row>
    <row r="57" spans="1:5" ht="13.8" x14ac:dyDescent="0.25">
      <c r="A57" s="52" t="s">
        <v>96</v>
      </c>
      <c r="B57" s="52" t="s">
        <v>97</v>
      </c>
      <c r="C57" s="52" t="s">
        <v>98</v>
      </c>
      <c r="D57" s="52" t="s">
        <v>142</v>
      </c>
      <c r="E57" s="52" t="s">
        <v>100</v>
      </c>
    </row>
    <row r="58" spans="1:5" x14ac:dyDescent="0.25">
      <c r="A58" s="49" t="s">
        <v>352</v>
      </c>
      <c r="B58" s="4" t="s">
        <v>144</v>
      </c>
      <c r="C58" s="4" t="s">
        <v>110</v>
      </c>
      <c r="D58" s="4" t="s">
        <v>356</v>
      </c>
      <c r="E58" s="27" t="s">
        <v>369</v>
      </c>
    </row>
    <row r="59" spans="1:5" x14ac:dyDescent="0.25">
      <c r="A59" s="49" t="s">
        <v>357</v>
      </c>
      <c r="B59" s="4" t="s">
        <v>370</v>
      </c>
      <c r="C59" s="4" t="s">
        <v>113</v>
      </c>
      <c r="D59" s="4" t="s">
        <v>70</v>
      </c>
      <c r="E59" s="27" t="s">
        <v>371</v>
      </c>
    </row>
  </sheetData>
  <mergeCells count="17">
    <mergeCell ref="A9:J9"/>
    <mergeCell ref="A12:J12"/>
    <mergeCell ref="A17:J17"/>
    <mergeCell ref="A20:J20"/>
    <mergeCell ref="A23:J23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6.5546875" style="4" bestFit="1" customWidth="1"/>
    <col min="5" max="5" width="21.77734375" style="4" bestFit="1" customWidth="1"/>
    <col min="6" max="6" width="16.109375" style="4" bestFit="1" customWidth="1"/>
    <col min="7" max="9" width="2.109375" style="3" customWidth="1"/>
    <col min="10" max="10" width="4.5546875" style="3" customWidth="1"/>
    <col min="11" max="11" width="7.6640625" style="27" bestFit="1" customWidth="1"/>
    <col min="12" max="12" width="5.88671875" style="2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5" t="s">
        <v>333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/>
      <c r="E3" s="18" t="s">
        <v>4</v>
      </c>
      <c r="F3" s="18" t="s">
        <v>8</v>
      </c>
      <c r="G3" s="18"/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6" spans="1:13" ht="15" x14ac:dyDescent="0.25">
      <c r="E6" s="26" t="s">
        <v>13</v>
      </c>
    </row>
    <row r="7" spans="1:13" ht="15" x14ac:dyDescent="0.25">
      <c r="E7" s="26" t="s">
        <v>14</v>
      </c>
    </row>
    <row r="8" spans="1:13" ht="15" x14ac:dyDescent="0.25">
      <c r="E8" s="26" t="s">
        <v>15</v>
      </c>
    </row>
    <row r="9" spans="1:13" ht="15" x14ac:dyDescent="0.25">
      <c r="E9" s="26" t="s">
        <v>16</v>
      </c>
    </row>
    <row r="10" spans="1:13" ht="15" x14ac:dyDescent="0.25">
      <c r="E10" s="26" t="s">
        <v>16</v>
      </c>
    </row>
    <row r="11" spans="1:13" ht="15" x14ac:dyDescent="0.25">
      <c r="E11" s="26" t="s">
        <v>17</v>
      </c>
    </row>
    <row r="12" spans="1:13" ht="15" x14ac:dyDescent="0.25">
      <c r="E12" s="26"/>
    </row>
    <row r="14" spans="1:13" ht="17.399999999999999" x14ac:dyDescent="0.3">
      <c r="A14" s="28" t="s">
        <v>18</v>
      </c>
      <c r="B14" s="28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6.5546875" style="4" bestFit="1" customWidth="1"/>
    <col min="5" max="5" width="21.77734375" style="4" bestFit="1" customWidth="1"/>
    <col min="6" max="6" width="16.109375" style="4" bestFit="1" customWidth="1"/>
    <col min="7" max="9" width="2.109375" style="3" customWidth="1"/>
    <col min="10" max="10" width="4.5546875" style="3" customWidth="1"/>
    <col min="11" max="11" width="7.6640625" style="27" bestFit="1" customWidth="1"/>
    <col min="12" max="12" width="5.88671875" style="2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5" t="s">
        <v>332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/>
      <c r="E3" s="18" t="s">
        <v>4</v>
      </c>
      <c r="F3" s="18" t="s">
        <v>8</v>
      </c>
      <c r="G3" s="18"/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6" spans="1:13" ht="15" x14ac:dyDescent="0.25">
      <c r="E6" s="26" t="s">
        <v>13</v>
      </c>
    </row>
    <row r="7" spans="1:13" ht="15" x14ac:dyDescent="0.25">
      <c r="E7" s="26" t="s">
        <v>14</v>
      </c>
    </row>
    <row r="8" spans="1:13" ht="15" x14ac:dyDescent="0.25">
      <c r="E8" s="26" t="s">
        <v>15</v>
      </c>
    </row>
    <row r="9" spans="1:13" ht="15" x14ac:dyDescent="0.25">
      <c r="E9" s="26" t="s">
        <v>16</v>
      </c>
    </row>
    <row r="10" spans="1:13" ht="15" x14ac:dyDescent="0.25">
      <c r="E10" s="26" t="s">
        <v>16</v>
      </c>
    </row>
    <row r="11" spans="1:13" ht="15" x14ac:dyDescent="0.25">
      <c r="E11" s="26" t="s">
        <v>17</v>
      </c>
    </row>
    <row r="12" spans="1:13" ht="15" x14ac:dyDescent="0.25">
      <c r="E12" s="26"/>
    </row>
    <row r="14" spans="1:13" ht="17.399999999999999" x14ac:dyDescent="0.3">
      <c r="A14" s="28" t="s">
        <v>18</v>
      </c>
      <c r="B14" s="28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6.5546875" style="4" bestFit="1" customWidth="1"/>
    <col min="5" max="5" width="21.77734375" style="4" bestFit="1" customWidth="1"/>
    <col min="6" max="6" width="16.109375" style="4" bestFit="1" customWidth="1"/>
    <col min="7" max="9" width="2.109375" style="3" customWidth="1"/>
    <col min="10" max="10" width="4.5546875" style="3" customWidth="1"/>
    <col min="11" max="11" width="7.6640625" style="27" bestFit="1" customWidth="1"/>
    <col min="12" max="12" width="5.88671875" style="2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5" t="s">
        <v>331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/>
      <c r="E3" s="18" t="s">
        <v>4</v>
      </c>
      <c r="F3" s="18" t="s">
        <v>8</v>
      </c>
      <c r="G3" s="18"/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6" spans="1:13" ht="15" x14ac:dyDescent="0.25">
      <c r="E6" s="26" t="s">
        <v>13</v>
      </c>
    </row>
    <row r="7" spans="1:13" ht="15" x14ac:dyDescent="0.25">
      <c r="E7" s="26" t="s">
        <v>14</v>
      </c>
    </row>
    <row r="8" spans="1:13" ht="15" x14ac:dyDescent="0.25">
      <c r="E8" s="26" t="s">
        <v>15</v>
      </c>
    </row>
    <row r="9" spans="1:13" ht="15" x14ac:dyDescent="0.25">
      <c r="E9" s="26" t="s">
        <v>16</v>
      </c>
    </row>
    <row r="10" spans="1:13" ht="15" x14ac:dyDescent="0.25">
      <c r="E10" s="26" t="s">
        <v>16</v>
      </c>
    </row>
    <row r="11" spans="1:13" ht="15" x14ac:dyDescent="0.25">
      <c r="E11" s="26" t="s">
        <v>17</v>
      </c>
    </row>
    <row r="12" spans="1:13" ht="15" x14ac:dyDescent="0.25">
      <c r="E12" s="26"/>
    </row>
    <row r="14" spans="1:13" ht="17.399999999999999" x14ac:dyDescent="0.3">
      <c r="A14" s="28" t="s">
        <v>18</v>
      </c>
      <c r="B14" s="28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6.5546875" style="4" bestFit="1" customWidth="1"/>
    <col min="5" max="5" width="21.77734375" style="4" bestFit="1" customWidth="1"/>
    <col min="6" max="6" width="16.109375" style="4" bestFit="1" customWidth="1"/>
    <col min="7" max="9" width="2.109375" style="3" customWidth="1"/>
    <col min="10" max="10" width="4.5546875" style="3" customWidth="1"/>
    <col min="11" max="11" width="7.6640625" style="27" bestFit="1" customWidth="1"/>
    <col min="12" max="12" width="5.88671875" style="2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5" t="s">
        <v>330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/>
      <c r="E3" s="18" t="s">
        <v>4</v>
      </c>
      <c r="F3" s="18" t="s">
        <v>8</v>
      </c>
      <c r="G3" s="18"/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6" spans="1:13" ht="15" x14ac:dyDescent="0.25">
      <c r="E6" s="26" t="s">
        <v>13</v>
      </c>
    </row>
    <row r="7" spans="1:13" ht="15" x14ac:dyDescent="0.25">
      <c r="E7" s="26" t="s">
        <v>14</v>
      </c>
    </row>
    <row r="8" spans="1:13" ht="15" x14ac:dyDescent="0.25">
      <c r="E8" s="26" t="s">
        <v>15</v>
      </c>
    </row>
    <row r="9" spans="1:13" ht="15" x14ac:dyDescent="0.25">
      <c r="E9" s="26" t="s">
        <v>16</v>
      </c>
    </row>
    <row r="10" spans="1:13" ht="15" x14ac:dyDescent="0.25">
      <c r="E10" s="26" t="s">
        <v>16</v>
      </c>
    </row>
    <row r="11" spans="1:13" ht="15" x14ac:dyDescent="0.25">
      <c r="E11" s="26" t="s">
        <v>17</v>
      </c>
    </row>
    <row r="12" spans="1:13" ht="15" x14ac:dyDescent="0.25">
      <c r="E12" s="26"/>
    </row>
    <row r="14" spans="1:13" ht="17.399999999999999" x14ac:dyDescent="0.3">
      <c r="A14" s="28" t="s">
        <v>18</v>
      </c>
      <c r="B14" s="28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9.88671875" style="4" bestFit="1" customWidth="1"/>
    <col min="3" max="3" width="14.88671875" style="4" bestFit="1" customWidth="1"/>
    <col min="4" max="4" width="11.88671875" style="4" bestFit="1" customWidth="1"/>
    <col min="5" max="5" width="21.77734375" style="4" bestFit="1" customWidth="1"/>
    <col min="6" max="6" width="38.21875" style="4" bestFit="1" customWidth="1"/>
    <col min="7" max="9" width="5.5546875" style="3" customWidth="1"/>
    <col min="10" max="10" width="4.5546875" style="3" customWidth="1"/>
    <col min="11" max="11" width="7.6640625" style="27" bestFit="1" customWidth="1"/>
    <col min="12" max="12" width="8.5546875" style="2" bestFit="1" customWidth="1"/>
    <col min="13" max="13" width="16.21875" style="4" bestFit="1" customWidth="1"/>
    <col min="14" max="16384" width="9.109375" style="3"/>
  </cols>
  <sheetData>
    <row r="1" spans="1:13" s="2" customFormat="1" ht="28.95" customHeight="1" x14ac:dyDescent="0.25">
      <c r="A1" s="25" t="s">
        <v>233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 t="s">
        <v>21</v>
      </c>
      <c r="E3" s="18" t="s">
        <v>4</v>
      </c>
      <c r="F3" s="18" t="s">
        <v>8</v>
      </c>
      <c r="G3" s="18" t="s">
        <v>23</v>
      </c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5" spans="1:13" ht="15.6" x14ac:dyDescent="0.3">
      <c r="A5" s="29" t="s">
        <v>164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5">
      <c r="A6" s="30" t="s">
        <v>235</v>
      </c>
      <c r="B6" s="30" t="s">
        <v>236</v>
      </c>
      <c r="C6" s="30" t="s">
        <v>237</v>
      </c>
      <c r="D6" s="30" t="str">
        <f>"1,1352"</f>
        <v>1,1352</v>
      </c>
      <c r="E6" s="30" t="s">
        <v>138</v>
      </c>
      <c r="F6" s="30" t="s">
        <v>139</v>
      </c>
      <c r="G6" s="31" t="s">
        <v>215</v>
      </c>
      <c r="H6" s="31" t="s">
        <v>36</v>
      </c>
      <c r="I6" s="32" t="s">
        <v>238</v>
      </c>
      <c r="J6" s="32"/>
      <c r="K6" s="41" t="str">
        <f>"55,0"</f>
        <v>55,0</v>
      </c>
      <c r="L6" s="42" t="str">
        <f>"62,4360"</f>
        <v>62,4360</v>
      </c>
      <c r="M6" s="30" t="s">
        <v>40</v>
      </c>
    </row>
    <row r="8" spans="1:13" ht="15.6" x14ac:dyDescent="0.3">
      <c r="A8" s="33" t="s">
        <v>189</v>
      </c>
      <c r="B8" s="43"/>
      <c r="C8" s="43"/>
      <c r="D8" s="43"/>
      <c r="E8" s="43"/>
      <c r="F8" s="43"/>
      <c r="G8" s="43"/>
      <c r="H8" s="43"/>
      <c r="I8" s="43"/>
      <c r="J8" s="43"/>
    </row>
    <row r="9" spans="1:13" x14ac:dyDescent="0.25">
      <c r="A9" s="30" t="s">
        <v>240</v>
      </c>
      <c r="B9" s="30" t="s">
        <v>241</v>
      </c>
      <c r="C9" s="30" t="s">
        <v>242</v>
      </c>
      <c r="D9" s="30" t="str">
        <f>"1,0439"</f>
        <v>1,0439</v>
      </c>
      <c r="E9" s="30" t="s">
        <v>30</v>
      </c>
      <c r="F9" s="30" t="s">
        <v>31</v>
      </c>
      <c r="G9" s="31" t="s">
        <v>215</v>
      </c>
      <c r="H9" s="31" t="s">
        <v>36</v>
      </c>
      <c r="I9" s="32" t="s">
        <v>32</v>
      </c>
      <c r="J9" s="32"/>
      <c r="K9" s="41" t="str">
        <f>"55,0"</f>
        <v>55,0</v>
      </c>
      <c r="L9" s="42" t="str">
        <f>"57,4145"</f>
        <v>57,4145</v>
      </c>
      <c r="M9" s="30" t="s">
        <v>40</v>
      </c>
    </row>
    <row r="11" spans="1:13" ht="15.6" x14ac:dyDescent="0.3">
      <c r="A11" s="33" t="s">
        <v>41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3" x14ac:dyDescent="0.25">
      <c r="A12" s="30" t="s">
        <v>244</v>
      </c>
      <c r="B12" s="30" t="s">
        <v>245</v>
      </c>
      <c r="C12" s="30" t="s">
        <v>246</v>
      </c>
      <c r="D12" s="30" t="str">
        <f>"0,9244"</f>
        <v>0,9244</v>
      </c>
      <c r="E12" s="30" t="s">
        <v>68</v>
      </c>
      <c r="F12" s="30" t="s">
        <v>69</v>
      </c>
      <c r="G12" s="31" t="s">
        <v>32</v>
      </c>
      <c r="H12" s="31" t="s">
        <v>195</v>
      </c>
      <c r="I12" s="32" t="s">
        <v>230</v>
      </c>
      <c r="J12" s="32"/>
      <c r="K12" s="41" t="str">
        <f>"65,0"</f>
        <v>65,0</v>
      </c>
      <c r="L12" s="42" t="str">
        <f>"60,0860"</f>
        <v>60,0860</v>
      </c>
      <c r="M12" s="30" t="s">
        <v>40</v>
      </c>
    </row>
    <row r="14" spans="1:13" ht="15.6" x14ac:dyDescent="0.3">
      <c r="A14" s="33" t="s">
        <v>208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3" x14ac:dyDescent="0.25">
      <c r="A15" s="34" t="s">
        <v>248</v>
      </c>
      <c r="B15" s="34" t="s">
        <v>249</v>
      </c>
      <c r="C15" s="34" t="s">
        <v>250</v>
      </c>
      <c r="D15" s="34" t="str">
        <f>"0,8563"</f>
        <v>0,8563</v>
      </c>
      <c r="E15" s="34" t="s">
        <v>204</v>
      </c>
      <c r="F15" s="34" t="s">
        <v>194</v>
      </c>
      <c r="G15" s="35" t="s">
        <v>172</v>
      </c>
      <c r="H15" s="36"/>
      <c r="I15" s="36"/>
      <c r="J15" s="36"/>
      <c r="K15" s="44" t="str">
        <f>"80,0"</f>
        <v>80,0</v>
      </c>
      <c r="L15" s="45" t="str">
        <f>"68,5040"</f>
        <v>68,5040</v>
      </c>
      <c r="M15" s="34" t="s">
        <v>251</v>
      </c>
    </row>
    <row r="16" spans="1:13" x14ac:dyDescent="0.25">
      <c r="A16" s="53" t="s">
        <v>248</v>
      </c>
      <c r="B16" s="53" t="s">
        <v>252</v>
      </c>
      <c r="C16" s="53" t="s">
        <v>250</v>
      </c>
      <c r="D16" s="53" t="str">
        <f>"0,8563"</f>
        <v>0,8563</v>
      </c>
      <c r="E16" s="53" t="s">
        <v>204</v>
      </c>
      <c r="F16" s="53" t="s">
        <v>194</v>
      </c>
      <c r="G16" s="55" t="s">
        <v>172</v>
      </c>
      <c r="H16" s="54"/>
      <c r="I16" s="54"/>
      <c r="J16" s="54"/>
      <c r="K16" s="56" t="str">
        <f>"80,0"</f>
        <v>80,0</v>
      </c>
      <c r="L16" s="57" t="str">
        <f>"68,5040"</f>
        <v>68,5040</v>
      </c>
      <c r="M16" s="53" t="s">
        <v>251</v>
      </c>
    </row>
    <row r="17" spans="1:13" x14ac:dyDescent="0.25">
      <c r="A17" s="37" t="s">
        <v>254</v>
      </c>
      <c r="B17" s="37" t="s">
        <v>255</v>
      </c>
      <c r="C17" s="37" t="s">
        <v>256</v>
      </c>
      <c r="D17" s="37" t="str">
        <f>"0,8515"</f>
        <v>0,8515</v>
      </c>
      <c r="E17" s="37" t="s">
        <v>30</v>
      </c>
      <c r="F17" s="37" t="s">
        <v>31</v>
      </c>
      <c r="G17" s="38" t="s">
        <v>170</v>
      </c>
      <c r="H17" s="38" t="s">
        <v>35</v>
      </c>
      <c r="I17" s="38" t="s">
        <v>171</v>
      </c>
      <c r="J17" s="39"/>
      <c r="K17" s="46" t="str">
        <f>"45,0"</f>
        <v>45,0</v>
      </c>
      <c r="L17" s="47" t="str">
        <f>"43,2988"</f>
        <v>43,2988</v>
      </c>
      <c r="M17" s="37" t="s">
        <v>40</v>
      </c>
    </row>
    <row r="19" spans="1:13" ht="15.6" x14ac:dyDescent="0.3">
      <c r="A19" s="33" t="s">
        <v>48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3" x14ac:dyDescent="0.25">
      <c r="A20" s="30" t="s">
        <v>258</v>
      </c>
      <c r="B20" s="30" t="s">
        <v>259</v>
      </c>
      <c r="C20" s="30" t="s">
        <v>260</v>
      </c>
      <c r="D20" s="30" t="str">
        <f>"0,8295"</f>
        <v>0,8295</v>
      </c>
      <c r="E20" s="30" t="s">
        <v>68</v>
      </c>
      <c r="F20" s="30" t="s">
        <v>69</v>
      </c>
      <c r="G20" s="31" t="s">
        <v>36</v>
      </c>
      <c r="H20" s="31" t="s">
        <v>32</v>
      </c>
      <c r="I20" s="32" t="s">
        <v>229</v>
      </c>
      <c r="J20" s="32"/>
      <c r="K20" s="41" t="str">
        <f>"60,0"</f>
        <v>60,0</v>
      </c>
      <c r="L20" s="42" t="str">
        <f>"49,7700"</f>
        <v>49,7700</v>
      </c>
      <c r="M20" s="30" t="s">
        <v>40</v>
      </c>
    </row>
    <row r="22" spans="1:13" ht="15.6" x14ac:dyDescent="0.3">
      <c r="A22" s="33" t="s">
        <v>121</v>
      </c>
      <c r="B22" s="43"/>
      <c r="C22" s="43"/>
      <c r="D22" s="43"/>
      <c r="E22" s="43"/>
      <c r="F22" s="43"/>
      <c r="G22" s="43"/>
      <c r="H22" s="43"/>
      <c r="I22" s="43"/>
      <c r="J22" s="43"/>
    </row>
    <row r="23" spans="1:13" x14ac:dyDescent="0.25">
      <c r="A23" s="30" t="s">
        <v>262</v>
      </c>
      <c r="B23" s="30" t="s">
        <v>263</v>
      </c>
      <c r="C23" s="30" t="s">
        <v>264</v>
      </c>
      <c r="D23" s="30" t="str">
        <f>"0,7492"</f>
        <v>0,7492</v>
      </c>
      <c r="E23" s="30" t="s">
        <v>53</v>
      </c>
      <c r="F23" s="30" t="s">
        <v>194</v>
      </c>
      <c r="G23" s="31" t="s">
        <v>170</v>
      </c>
      <c r="H23" s="31" t="s">
        <v>265</v>
      </c>
      <c r="I23" s="32" t="s">
        <v>35</v>
      </c>
      <c r="J23" s="32"/>
      <c r="K23" s="41" t="str">
        <f>"35,0"</f>
        <v>35,0</v>
      </c>
      <c r="L23" s="42" t="str">
        <f>"26,2237"</f>
        <v>26,2237</v>
      </c>
      <c r="M23" s="30" t="s">
        <v>40</v>
      </c>
    </row>
    <row r="25" spans="1:13" ht="15.6" x14ac:dyDescent="0.3">
      <c r="A25" s="33" t="s">
        <v>41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3" x14ac:dyDescent="0.25">
      <c r="A26" s="34" t="s">
        <v>267</v>
      </c>
      <c r="B26" s="34" t="s">
        <v>268</v>
      </c>
      <c r="C26" s="34" t="s">
        <v>269</v>
      </c>
      <c r="D26" s="34" t="str">
        <f>"0,7581"</f>
        <v>0,7581</v>
      </c>
      <c r="E26" s="34" t="s">
        <v>30</v>
      </c>
      <c r="F26" s="34" t="s">
        <v>270</v>
      </c>
      <c r="G26" s="35" t="s">
        <v>179</v>
      </c>
      <c r="H26" s="35" t="s">
        <v>271</v>
      </c>
      <c r="I26" s="36" t="s">
        <v>180</v>
      </c>
      <c r="J26" s="36"/>
      <c r="K26" s="44" t="str">
        <f>"130,0"</f>
        <v>130,0</v>
      </c>
      <c r="L26" s="45" t="str">
        <f>"98,5465"</f>
        <v>98,5465</v>
      </c>
      <c r="M26" s="34" t="s">
        <v>40</v>
      </c>
    </row>
    <row r="27" spans="1:13" x14ac:dyDescent="0.25">
      <c r="A27" s="37" t="s">
        <v>273</v>
      </c>
      <c r="B27" s="37" t="s">
        <v>274</v>
      </c>
      <c r="C27" s="37" t="s">
        <v>275</v>
      </c>
      <c r="D27" s="37" t="str">
        <f>"0,7570"</f>
        <v>0,7570</v>
      </c>
      <c r="E27" s="37" t="s">
        <v>53</v>
      </c>
      <c r="F27" s="37" t="s">
        <v>276</v>
      </c>
      <c r="G27" s="38" t="s">
        <v>37</v>
      </c>
      <c r="H27" s="38" t="s">
        <v>277</v>
      </c>
      <c r="I27" s="39" t="s">
        <v>199</v>
      </c>
      <c r="J27" s="39"/>
      <c r="K27" s="46" t="str">
        <f>"92,5"</f>
        <v>92,5</v>
      </c>
      <c r="L27" s="47" t="str">
        <f>"70,0271"</f>
        <v>70,0271</v>
      </c>
      <c r="M27" s="37" t="s">
        <v>40</v>
      </c>
    </row>
    <row r="29" spans="1:13" ht="15.6" x14ac:dyDescent="0.3">
      <c r="A29" s="33" t="s">
        <v>208</v>
      </c>
      <c r="B29" s="43"/>
      <c r="C29" s="43"/>
      <c r="D29" s="43"/>
      <c r="E29" s="43"/>
      <c r="F29" s="43"/>
      <c r="G29" s="43"/>
      <c r="H29" s="43"/>
      <c r="I29" s="43"/>
      <c r="J29" s="43"/>
    </row>
    <row r="30" spans="1:13" x14ac:dyDescent="0.25">
      <c r="A30" s="30" t="s">
        <v>279</v>
      </c>
      <c r="B30" s="30" t="s">
        <v>280</v>
      </c>
      <c r="C30" s="30" t="s">
        <v>281</v>
      </c>
      <c r="D30" s="30" t="str">
        <f>"0,7221"</f>
        <v>0,7221</v>
      </c>
      <c r="E30" s="30" t="s">
        <v>68</v>
      </c>
      <c r="F30" s="30" t="s">
        <v>69</v>
      </c>
      <c r="G30" s="31" t="s">
        <v>205</v>
      </c>
      <c r="H30" s="32" t="s">
        <v>38</v>
      </c>
      <c r="I30" s="32" t="s">
        <v>38</v>
      </c>
      <c r="J30" s="32"/>
      <c r="K30" s="41" t="str">
        <f>"97,5"</f>
        <v>97,5</v>
      </c>
      <c r="L30" s="42" t="str">
        <f>"70,4048"</f>
        <v>70,4048</v>
      </c>
      <c r="M30" s="30" t="s">
        <v>40</v>
      </c>
    </row>
    <row r="32" spans="1:13" ht="15.6" x14ac:dyDescent="0.3">
      <c r="A32" s="33" t="s">
        <v>48</v>
      </c>
      <c r="B32" s="43"/>
      <c r="C32" s="43"/>
      <c r="D32" s="43"/>
      <c r="E32" s="43"/>
      <c r="F32" s="43"/>
      <c r="G32" s="43"/>
      <c r="H32" s="43"/>
      <c r="I32" s="43"/>
      <c r="J32" s="43"/>
    </row>
    <row r="33" spans="1:13" x14ac:dyDescent="0.25">
      <c r="A33" s="34" t="s">
        <v>283</v>
      </c>
      <c r="B33" s="34" t="s">
        <v>284</v>
      </c>
      <c r="C33" s="34" t="s">
        <v>285</v>
      </c>
      <c r="D33" s="34" t="str">
        <f>"0,6529"</f>
        <v>0,6529</v>
      </c>
      <c r="E33" s="34" t="s">
        <v>138</v>
      </c>
      <c r="F33" s="34" t="s">
        <v>139</v>
      </c>
      <c r="G33" s="35" t="s">
        <v>73</v>
      </c>
      <c r="H33" s="36" t="s">
        <v>74</v>
      </c>
      <c r="I33" s="35" t="s">
        <v>74</v>
      </c>
      <c r="J33" s="36"/>
      <c r="K33" s="44" t="str">
        <f>"170,0"</f>
        <v>170,0</v>
      </c>
      <c r="L33" s="45" t="str">
        <f>"110,9930"</f>
        <v>110,9930</v>
      </c>
      <c r="M33" s="34" t="s">
        <v>40</v>
      </c>
    </row>
    <row r="34" spans="1:13" x14ac:dyDescent="0.25">
      <c r="A34" s="37" t="s">
        <v>287</v>
      </c>
      <c r="B34" s="37" t="s">
        <v>288</v>
      </c>
      <c r="C34" s="37" t="s">
        <v>289</v>
      </c>
      <c r="D34" s="37" t="str">
        <f>"0,6573"</f>
        <v>0,6573</v>
      </c>
      <c r="E34" s="37" t="s">
        <v>68</v>
      </c>
      <c r="F34" s="37" t="s">
        <v>69</v>
      </c>
      <c r="G34" s="38" t="s">
        <v>271</v>
      </c>
      <c r="H34" s="38" t="s">
        <v>128</v>
      </c>
      <c r="I34" s="38" t="s">
        <v>83</v>
      </c>
      <c r="J34" s="39"/>
      <c r="K34" s="46" t="str">
        <f>"140,0"</f>
        <v>140,0</v>
      </c>
      <c r="L34" s="47" t="str">
        <f>"92,0220"</f>
        <v>92,0220</v>
      </c>
      <c r="M34" s="37" t="s">
        <v>40</v>
      </c>
    </row>
    <row r="36" spans="1:13" ht="15.6" x14ac:dyDescent="0.3">
      <c r="A36" s="33" t="s">
        <v>121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3" x14ac:dyDescent="0.25">
      <c r="A37" s="34" t="s">
        <v>291</v>
      </c>
      <c r="B37" s="34" t="s">
        <v>292</v>
      </c>
      <c r="C37" s="34" t="s">
        <v>293</v>
      </c>
      <c r="D37" s="34" t="str">
        <f>"0,6259"</f>
        <v>0,6259</v>
      </c>
      <c r="E37" s="34" t="s">
        <v>53</v>
      </c>
      <c r="F37" s="34" t="s">
        <v>194</v>
      </c>
      <c r="G37" s="36" t="s">
        <v>180</v>
      </c>
      <c r="H37" s="36" t="s">
        <v>180</v>
      </c>
      <c r="I37" s="35" t="s">
        <v>180</v>
      </c>
      <c r="J37" s="36"/>
      <c r="K37" s="44" t="str">
        <f>"132,5"</f>
        <v>132,5</v>
      </c>
      <c r="L37" s="45" t="str">
        <f>"82,9384"</f>
        <v>82,9384</v>
      </c>
      <c r="M37" s="34" t="s">
        <v>40</v>
      </c>
    </row>
    <row r="38" spans="1:13" x14ac:dyDescent="0.25">
      <c r="A38" s="53" t="s">
        <v>295</v>
      </c>
      <c r="B38" s="53" t="s">
        <v>296</v>
      </c>
      <c r="C38" s="53" t="s">
        <v>297</v>
      </c>
      <c r="D38" s="53" t="str">
        <f>"0,6286"</f>
        <v>0,6286</v>
      </c>
      <c r="E38" s="53" t="s">
        <v>138</v>
      </c>
      <c r="F38" s="53" t="s">
        <v>139</v>
      </c>
      <c r="G38" s="54" t="s">
        <v>179</v>
      </c>
      <c r="H38" s="55" t="s">
        <v>179</v>
      </c>
      <c r="I38" s="54" t="s">
        <v>180</v>
      </c>
      <c r="J38" s="54"/>
      <c r="K38" s="56" t="str">
        <f>"125,0"</f>
        <v>125,0</v>
      </c>
      <c r="L38" s="57" t="str">
        <f>"78,5750"</f>
        <v>78,5750</v>
      </c>
      <c r="M38" s="53" t="s">
        <v>40</v>
      </c>
    </row>
    <row r="39" spans="1:13" x14ac:dyDescent="0.25">
      <c r="A39" s="53" t="s">
        <v>299</v>
      </c>
      <c r="B39" s="53" t="s">
        <v>300</v>
      </c>
      <c r="C39" s="53" t="s">
        <v>301</v>
      </c>
      <c r="D39" s="53" t="str">
        <f>"0,6205"</f>
        <v>0,6205</v>
      </c>
      <c r="E39" s="53" t="s">
        <v>138</v>
      </c>
      <c r="F39" s="53" t="s">
        <v>139</v>
      </c>
      <c r="G39" s="55" t="s">
        <v>302</v>
      </c>
      <c r="H39" s="54" t="s">
        <v>180</v>
      </c>
      <c r="I39" s="54"/>
      <c r="J39" s="54"/>
      <c r="K39" s="56" t="str">
        <f>"122,5"</f>
        <v>122,5</v>
      </c>
      <c r="L39" s="57" t="str">
        <f>"76,0113"</f>
        <v>76,0113</v>
      </c>
      <c r="M39" s="53" t="s">
        <v>40</v>
      </c>
    </row>
    <row r="40" spans="1:13" x14ac:dyDescent="0.25">
      <c r="A40" s="37" t="s">
        <v>303</v>
      </c>
      <c r="B40" s="37" t="s">
        <v>304</v>
      </c>
      <c r="C40" s="37" t="s">
        <v>301</v>
      </c>
      <c r="D40" s="37" t="str">
        <f>"0,6205"</f>
        <v>0,6205</v>
      </c>
      <c r="E40" s="37" t="s">
        <v>138</v>
      </c>
      <c r="F40" s="37" t="s">
        <v>139</v>
      </c>
      <c r="G40" s="38" t="s">
        <v>302</v>
      </c>
      <c r="H40" s="39" t="s">
        <v>180</v>
      </c>
      <c r="I40" s="39"/>
      <c r="J40" s="39"/>
      <c r="K40" s="46" t="str">
        <f>"122,5"</f>
        <v>122,5</v>
      </c>
      <c r="L40" s="47" t="str">
        <f>"80,1919"</f>
        <v>80,1919</v>
      </c>
      <c r="M40" s="37" t="s">
        <v>40</v>
      </c>
    </row>
    <row r="42" spans="1:13" ht="15.6" x14ac:dyDescent="0.3">
      <c r="A42" s="33" t="s">
        <v>85</v>
      </c>
      <c r="B42" s="43"/>
      <c r="C42" s="43"/>
      <c r="D42" s="43"/>
      <c r="E42" s="43"/>
      <c r="F42" s="43"/>
      <c r="G42" s="43"/>
      <c r="H42" s="43"/>
      <c r="I42" s="43"/>
      <c r="J42" s="43"/>
    </row>
    <row r="43" spans="1:13" x14ac:dyDescent="0.25">
      <c r="A43" s="30" t="s">
        <v>306</v>
      </c>
      <c r="B43" s="30" t="s">
        <v>307</v>
      </c>
      <c r="C43" s="30" t="s">
        <v>308</v>
      </c>
      <c r="D43" s="30" t="str">
        <f>"0,5627"</f>
        <v>0,5627</v>
      </c>
      <c r="E43" s="30" t="s">
        <v>213</v>
      </c>
      <c r="F43" s="30" t="s">
        <v>214</v>
      </c>
      <c r="G43" s="31" t="s">
        <v>59</v>
      </c>
      <c r="H43" s="31" t="s">
        <v>309</v>
      </c>
      <c r="I43" s="32" t="s">
        <v>310</v>
      </c>
      <c r="J43" s="32"/>
      <c r="K43" s="41" t="str">
        <f>"157,5"</f>
        <v>157,5</v>
      </c>
      <c r="L43" s="42" t="str">
        <f>"88,6174"</f>
        <v>88,6174</v>
      </c>
      <c r="M43" s="30" t="s">
        <v>40</v>
      </c>
    </row>
    <row r="45" spans="1:13" ht="15" x14ac:dyDescent="0.25">
      <c r="E45" s="26" t="s">
        <v>13</v>
      </c>
    </row>
    <row r="46" spans="1:13" ht="15" x14ac:dyDescent="0.25">
      <c r="E46" s="26" t="s">
        <v>14</v>
      </c>
    </row>
    <row r="47" spans="1:13" ht="15" x14ac:dyDescent="0.25">
      <c r="E47" s="26" t="s">
        <v>15</v>
      </c>
    </row>
    <row r="48" spans="1:13" ht="15" x14ac:dyDescent="0.25">
      <c r="E48" s="26" t="s">
        <v>16</v>
      </c>
    </row>
    <row r="49" spans="1:5" ht="15" x14ac:dyDescent="0.25">
      <c r="E49" s="26" t="s">
        <v>16</v>
      </c>
    </row>
    <row r="50" spans="1:5" ht="15" x14ac:dyDescent="0.25">
      <c r="E50" s="26" t="s">
        <v>17</v>
      </c>
    </row>
    <row r="51" spans="1:5" ht="15" x14ac:dyDescent="0.25">
      <c r="E51" s="26"/>
    </row>
    <row r="53" spans="1:5" ht="17.399999999999999" x14ac:dyDescent="0.3">
      <c r="A53" s="28" t="s">
        <v>18</v>
      </c>
      <c r="B53" s="28"/>
    </row>
    <row r="54" spans="1:5" ht="15.6" x14ac:dyDescent="0.3">
      <c r="A54" s="48" t="s">
        <v>94</v>
      </c>
      <c r="B54" s="48"/>
    </row>
    <row r="55" spans="1:5" ht="14.4" x14ac:dyDescent="0.3">
      <c r="A55" s="50"/>
      <c r="B55" s="51" t="s">
        <v>182</v>
      </c>
    </row>
    <row r="56" spans="1:5" ht="13.8" x14ac:dyDescent="0.25">
      <c r="A56" s="52" t="s">
        <v>96</v>
      </c>
      <c r="B56" s="52" t="s">
        <v>97</v>
      </c>
      <c r="C56" s="52" t="s">
        <v>98</v>
      </c>
      <c r="D56" s="52" t="s">
        <v>142</v>
      </c>
      <c r="E56" s="52" t="s">
        <v>100</v>
      </c>
    </row>
    <row r="57" spans="1:5" x14ac:dyDescent="0.25">
      <c r="A57" s="49" t="s">
        <v>261</v>
      </c>
      <c r="B57" s="4" t="s">
        <v>216</v>
      </c>
      <c r="C57" s="4" t="s">
        <v>129</v>
      </c>
      <c r="D57" s="4" t="s">
        <v>265</v>
      </c>
      <c r="E57" s="27" t="s">
        <v>311</v>
      </c>
    </row>
    <row r="59" spans="1:5" ht="14.4" x14ac:dyDescent="0.3">
      <c r="A59" s="50"/>
      <c r="B59" s="51" t="s">
        <v>95</v>
      </c>
    </row>
    <row r="60" spans="1:5" ht="13.8" x14ac:dyDescent="0.25">
      <c r="A60" s="52" t="s">
        <v>96</v>
      </c>
      <c r="B60" s="52" t="s">
        <v>97</v>
      </c>
      <c r="C60" s="52" t="s">
        <v>98</v>
      </c>
      <c r="D60" s="52" t="s">
        <v>142</v>
      </c>
      <c r="E60" s="52" t="s">
        <v>100</v>
      </c>
    </row>
    <row r="61" spans="1:5" x14ac:dyDescent="0.25">
      <c r="A61" s="49" t="s">
        <v>247</v>
      </c>
      <c r="B61" s="4" t="s">
        <v>95</v>
      </c>
      <c r="C61" s="4" t="s">
        <v>217</v>
      </c>
      <c r="D61" s="4" t="s">
        <v>172</v>
      </c>
      <c r="E61" s="27" t="s">
        <v>312</v>
      </c>
    </row>
    <row r="62" spans="1:5" x14ac:dyDescent="0.25">
      <c r="A62" s="49" t="s">
        <v>234</v>
      </c>
      <c r="B62" s="4" t="s">
        <v>95</v>
      </c>
      <c r="C62" s="4" t="s">
        <v>184</v>
      </c>
      <c r="D62" s="4" t="s">
        <v>36</v>
      </c>
      <c r="E62" s="27" t="s">
        <v>313</v>
      </c>
    </row>
    <row r="63" spans="1:5" x14ac:dyDescent="0.25">
      <c r="A63" s="49" t="s">
        <v>243</v>
      </c>
      <c r="B63" s="4" t="s">
        <v>95</v>
      </c>
      <c r="C63" s="4" t="s">
        <v>103</v>
      </c>
      <c r="D63" s="4" t="s">
        <v>195</v>
      </c>
      <c r="E63" s="27" t="s">
        <v>314</v>
      </c>
    </row>
    <row r="64" spans="1:5" x14ac:dyDescent="0.25">
      <c r="A64" s="49" t="s">
        <v>239</v>
      </c>
      <c r="B64" s="4" t="s">
        <v>95</v>
      </c>
      <c r="C64" s="4" t="s">
        <v>221</v>
      </c>
      <c r="D64" s="4" t="s">
        <v>36</v>
      </c>
      <c r="E64" s="27" t="s">
        <v>315</v>
      </c>
    </row>
    <row r="65" spans="1:5" x14ac:dyDescent="0.25">
      <c r="A65" s="49" t="s">
        <v>257</v>
      </c>
      <c r="B65" s="4" t="s">
        <v>95</v>
      </c>
      <c r="C65" s="4" t="s">
        <v>107</v>
      </c>
      <c r="D65" s="4" t="s">
        <v>32</v>
      </c>
      <c r="E65" s="27" t="s">
        <v>316</v>
      </c>
    </row>
    <row r="67" spans="1:5" ht="14.4" x14ac:dyDescent="0.3">
      <c r="A67" s="50"/>
      <c r="B67" s="51" t="s">
        <v>116</v>
      </c>
    </row>
    <row r="68" spans="1:5" ht="13.8" x14ac:dyDescent="0.25">
      <c r="A68" s="52" t="s">
        <v>96</v>
      </c>
      <c r="B68" s="52" t="s">
        <v>97</v>
      </c>
      <c r="C68" s="52" t="s">
        <v>98</v>
      </c>
      <c r="D68" s="52" t="s">
        <v>142</v>
      </c>
      <c r="E68" s="52" t="s">
        <v>100</v>
      </c>
    </row>
    <row r="69" spans="1:5" x14ac:dyDescent="0.25">
      <c r="A69" s="49" t="s">
        <v>247</v>
      </c>
      <c r="B69" s="4" t="s">
        <v>117</v>
      </c>
      <c r="C69" s="4" t="s">
        <v>217</v>
      </c>
      <c r="D69" s="4" t="s">
        <v>172</v>
      </c>
      <c r="E69" s="27" t="s">
        <v>312</v>
      </c>
    </row>
    <row r="70" spans="1:5" x14ac:dyDescent="0.25">
      <c r="A70" s="49" t="s">
        <v>253</v>
      </c>
      <c r="B70" s="4" t="s">
        <v>317</v>
      </c>
      <c r="C70" s="4" t="s">
        <v>217</v>
      </c>
      <c r="D70" s="4" t="s">
        <v>171</v>
      </c>
      <c r="E70" s="27" t="s">
        <v>318</v>
      </c>
    </row>
    <row r="73" spans="1:5" ht="15.6" x14ac:dyDescent="0.3">
      <c r="A73" s="48" t="s">
        <v>106</v>
      </c>
      <c r="B73" s="48"/>
    </row>
    <row r="74" spans="1:5" ht="14.4" x14ac:dyDescent="0.3">
      <c r="A74" s="50"/>
      <c r="B74" s="51" t="s">
        <v>319</v>
      </c>
    </row>
    <row r="75" spans="1:5" ht="13.8" x14ac:dyDescent="0.25">
      <c r="A75" s="52" t="s">
        <v>96</v>
      </c>
      <c r="B75" s="52" t="s">
        <v>97</v>
      </c>
      <c r="C75" s="52" t="s">
        <v>98</v>
      </c>
      <c r="D75" s="52" t="s">
        <v>142</v>
      </c>
      <c r="E75" s="52" t="s">
        <v>100</v>
      </c>
    </row>
    <row r="76" spans="1:5" x14ac:dyDescent="0.25">
      <c r="A76" s="49" t="s">
        <v>278</v>
      </c>
      <c r="B76" s="4" t="s">
        <v>183</v>
      </c>
      <c r="C76" s="4" t="s">
        <v>217</v>
      </c>
      <c r="D76" s="4" t="s">
        <v>205</v>
      </c>
      <c r="E76" s="27" t="s">
        <v>320</v>
      </c>
    </row>
    <row r="78" spans="1:5" ht="14.4" x14ac:dyDescent="0.3">
      <c r="A78" s="50"/>
      <c r="B78" s="51" t="s">
        <v>95</v>
      </c>
    </row>
    <row r="79" spans="1:5" ht="13.8" x14ac:dyDescent="0.25">
      <c r="A79" s="52" t="s">
        <v>96</v>
      </c>
      <c r="B79" s="52" t="s">
        <v>97</v>
      </c>
      <c r="C79" s="52" t="s">
        <v>98</v>
      </c>
      <c r="D79" s="52" t="s">
        <v>142</v>
      </c>
      <c r="E79" s="52" t="s">
        <v>100</v>
      </c>
    </row>
    <row r="80" spans="1:5" x14ac:dyDescent="0.25">
      <c r="A80" s="49" t="s">
        <v>282</v>
      </c>
      <c r="B80" s="4" t="s">
        <v>95</v>
      </c>
      <c r="C80" s="4" t="s">
        <v>107</v>
      </c>
      <c r="D80" s="4" t="s">
        <v>74</v>
      </c>
      <c r="E80" s="27" t="s">
        <v>321</v>
      </c>
    </row>
    <row r="81" spans="1:5" x14ac:dyDescent="0.25">
      <c r="A81" s="49" t="s">
        <v>266</v>
      </c>
      <c r="B81" s="4" t="s">
        <v>95</v>
      </c>
      <c r="C81" s="4" t="s">
        <v>103</v>
      </c>
      <c r="D81" s="4" t="s">
        <v>271</v>
      </c>
      <c r="E81" s="27" t="s">
        <v>322</v>
      </c>
    </row>
    <row r="82" spans="1:5" x14ac:dyDescent="0.25">
      <c r="A82" s="49" t="s">
        <v>286</v>
      </c>
      <c r="B82" s="4" t="s">
        <v>95</v>
      </c>
      <c r="C82" s="4" t="s">
        <v>107</v>
      </c>
      <c r="D82" s="4" t="s">
        <v>83</v>
      </c>
      <c r="E82" s="27" t="s">
        <v>323</v>
      </c>
    </row>
    <row r="83" spans="1:5" x14ac:dyDescent="0.25">
      <c r="A83" s="49" t="s">
        <v>305</v>
      </c>
      <c r="B83" s="4" t="s">
        <v>95</v>
      </c>
      <c r="C83" s="4" t="s">
        <v>113</v>
      </c>
      <c r="D83" s="4" t="s">
        <v>309</v>
      </c>
      <c r="E83" s="27" t="s">
        <v>324</v>
      </c>
    </row>
    <row r="84" spans="1:5" x14ac:dyDescent="0.25">
      <c r="A84" s="49" t="s">
        <v>290</v>
      </c>
      <c r="B84" s="4" t="s">
        <v>95</v>
      </c>
      <c r="C84" s="4" t="s">
        <v>129</v>
      </c>
      <c r="D84" s="4" t="s">
        <v>180</v>
      </c>
      <c r="E84" s="27" t="s">
        <v>325</v>
      </c>
    </row>
    <row r="85" spans="1:5" x14ac:dyDescent="0.25">
      <c r="A85" s="49" t="s">
        <v>294</v>
      </c>
      <c r="B85" s="4" t="s">
        <v>95</v>
      </c>
      <c r="C85" s="4" t="s">
        <v>129</v>
      </c>
      <c r="D85" s="4" t="s">
        <v>179</v>
      </c>
      <c r="E85" s="27" t="s">
        <v>326</v>
      </c>
    </row>
    <row r="86" spans="1:5" x14ac:dyDescent="0.25">
      <c r="A86" s="49" t="s">
        <v>298</v>
      </c>
      <c r="B86" s="4" t="s">
        <v>95</v>
      </c>
      <c r="C86" s="4" t="s">
        <v>129</v>
      </c>
      <c r="D86" s="4" t="s">
        <v>302</v>
      </c>
      <c r="E86" s="27" t="s">
        <v>327</v>
      </c>
    </row>
    <row r="88" spans="1:5" ht="14.4" x14ac:dyDescent="0.3">
      <c r="A88" s="50"/>
      <c r="B88" s="51" t="s">
        <v>116</v>
      </c>
    </row>
    <row r="89" spans="1:5" ht="13.8" x14ac:dyDescent="0.25">
      <c r="A89" s="52" t="s">
        <v>96</v>
      </c>
      <c r="B89" s="52" t="s">
        <v>97</v>
      </c>
      <c r="C89" s="52" t="s">
        <v>98</v>
      </c>
      <c r="D89" s="52" t="s">
        <v>142</v>
      </c>
      <c r="E89" s="52" t="s">
        <v>100</v>
      </c>
    </row>
    <row r="90" spans="1:5" x14ac:dyDescent="0.25">
      <c r="A90" s="49" t="s">
        <v>298</v>
      </c>
      <c r="B90" s="4" t="s">
        <v>144</v>
      </c>
      <c r="C90" s="4" t="s">
        <v>129</v>
      </c>
      <c r="D90" s="4" t="s">
        <v>302</v>
      </c>
      <c r="E90" s="27" t="s">
        <v>328</v>
      </c>
    </row>
    <row r="91" spans="1:5" x14ac:dyDescent="0.25">
      <c r="A91" s="49" t="s">
        <v>272</v>
      </c>
      <c r="B91" s="4" t="s">
        <v>117</v>
      </c>
      <c r="C91" s="4" t="s">
        <v>103</v>
      </c>
      <c r="D91" s="4" t="s">
        <v>277</v>
      </c>
      <c r="E91" s="27" t="s">
        <v>329</v>
      </c>
    </row>
  </sheetData>
  <mergeCells count="22">
    <mergeCell ref="A29:J29"/>
    <mergeCell ref="A32:J32"/>
    <mergeCell ref="A36:J36"/>
    <mergeCell ref="A42:J42"/>
    <mergeCell ref="A8:J8"/>
    <mergeCell ref="A11:J11"/>
    <mergeCell ref="A14:J14"/>
    <mergeCell ref="A19:J19"/>
    <mergeCell ref="A22:J22"/>
    <mergeCell ref="A25:J25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9.88671875" style="4" bestFit="1" customWidth="1"/>
    <col min="3" max="3" width="14.88671875" style="4" bestFit="1" customWidth="1"/>
    <col min="4" max="4" width="8.21875" style="4" bestFit="1" customWidth="1"/>
    <col min="5" max="6" width="21.77734375" style="4" bestFit="1" customWidth="1"/>
    <col min="7" max="10" width="5.5546875" style="3" customWidth="1"/>
    <col min="11" max="14" width="4.5546875" style="3" customWidth="1"/>
    <col min="15" max="18" width="5.5546875" style="3" customWidth="1"/>
    <col min="19" max="19" width="7.6640625" style="27" bestFit="1" customWidth="1"/>
    <col min="20" max="20" width="8.5546875" style="2" bestFit="1" customWidth="1"/>
    <col min="21" max="21" width="8.33203125" style="4" bestFit="1" customWidth="1"/>
    <col min="22" max="16384" width="9.109375" style="3"/>
  </cols>
  <sheetData>
    <row r="1" spans="1:21" s="2" customFormat="1" ht="28.95" customHeight="1" x14ac:dyDescent="0.25">
      <c r="A1" s="25" t="s">
        <v>224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</row>
    <row r="2" spans="1:21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1" s="1" customFormat="1" ht="12.75" customHeight="1" x14ac:dyDescent="0.25">
      <c r="A3" s="19" t="s">
        <v>0</v>
      </c>
      <c r="B3" s="21" t="s">
        <v>7</v>
      </c>
      <c r="C3" s="21" t="s">
        <v>11</v>
      </c>
      <c r="D3" s="18" t="s">
        <v>21</v>
      </c>
      <c r="E3" s="18" t="s">
        <v>4</v>
      </c>
      <c r="F3" s="18" t="s">
        <v>8</v>
      </c>
      <c r="G3" s="18" t="s">
        <v>22</v>
      </c>
      <c r="H3" s="18"/>
      <c r="I3" s="18"/>
      <c r="J3" s="18"/>
      <c r="K3" s="18" t="s">
        <v>23</v>
      </c>
      <c r="L3" s="18"/>
      <c r="M3" s="18"/>
      <c r="N3" s="18"/>
      <c r="O3" s="18" t="s">
        <v>24</v>
      </c>
      <c r="P3" s="18"/>
      <c r="Q3" s="18"/>
      <c r="R3" s="18"/>
      <c r="S3" s="18" t="s">
        <v>1</v>
      </c>
      <c r="T3" s="18" t="s">
        <v>3</v>
      </c>
      <c r="U3" s="23" t="s">
        <v>2</v>
      </c>
    </row>
    <row r="4" spans="1:21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22"/>
      <c r="T4" s="22"/>
      <c r="U4" s="24"/>
    </row>
    <row r="5" spans="1:21" ht="15.6" x14ac:dyDescent="0.3">
      <c r="A5" s="29" t="s">
        <v>208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5">
      <c r="A6" s="30" t="s">
        <v>226</v>
      </c>
      <c r="B6" s="30" t="s">
        <v>227</v>
      </c>
      <c r="C6" s="30" t="s">
        <v>228</v>
      </c>
      <c r="D6" s="30" t="str">
        <f>"0,8547"</f>
        <v>0,8547</v>
      </c>
      <c r="E6" s="30" t="s">
        <v>204</v>
      </c>
      <c r="F6" s="30" t="s">
        <v>194</v>
      </c>
      <c r="G6" s="31" t="s">
        <v>83</v>
      </c>
      <c r="H6" s="31" t="s">
        <v>59</v>
      </c>
      <c r="I6" s="31" t="s">
        <v>91</v>
      </c>
      <c r="J6" s="31" t="s">
        <v>74</v>
      </c>
      <c r="K6" s="31" t="s">
        <v>229</v>
      </c>
      <c r="L6" s="31" t="s">
        <v>230</v>
      </c>
      <c r="M6" s="31" t="s">
        <v>169</v>
      </c>
      <c r="N6" s="32"/>
      <c r="O6" s="31" t="s">
        <v>59</v>
      </c>
      <c r="P6" s="31" t="s">
        <v>91</v>
      </c>
      <c r="Q6" s="31" t="s">
        <v>74</v>
      </c>
      <c r="R6" s="32" t="s">
        <v>75</v>
      </c>
      <c r="S6" s="41" t="str">
        <f>"400,0"</f>
        <v>400,0</v>
      </c>
      <c r="T6" s="42" t="str">
        <f>"341,8800"</f>
        <v>341,8800</v>
      </c>
      <c r="U6" s="30" t="s">
        <v>40</v>
      </c>
    </row>
    <row r="8" spans="1:21" ht="15" x14ac:dyDescent="0.25">
      <c r="E8" s="26" t="s">
        <v>13</v>
      </c>
    </row>
    <row r="9" spans="1:21" ht="15" x14ac:dyDescent="0.25">
      <c r="E9" s="26" t="s">
        <v>14</v>
      </c>
    </row>
    <row r="10" spans="1:21" ht="15" x14ac:dyDescent="0.25">
      <c r="E10" s="26" t="s">
        <v>15</v>
      </c>
    </row>
    <row r="11" spans="1:21" ht="15" x14ac:dyDescent="0.25">
      <c r="E11" s="26" t="s">
        <v>16</v>
      </c>
    </row>
    <row r="12" spans="1:21" ht="15" x14ac:dyDescent="0.25">
      <c r="E12" s="26" t="s">
        <v>16</v>
      </c>
    </row>
    <row r="13" spans="1:21" ht="15" x14ac:dyDescent="0.25">
      <c r="E13" s="26" t="s">
        <v>17</v>
      </c>
    </row>
    <row r="14" spans="1:21" ht="15" x14ac:dyDescent="0.25">
      <c r="E14" s="26"/>
    </row>
    <row r="16" spans="1:21" ht="17.399999999999999" x14ac:dyDescent="0.3">
      <c r="A16" s="28" t="s">
        <v>18</v>
      </c>
      <c r="B16" s="28"/>
    </row>
    <row r="17" spans="1:5" ht="15.6" x14ac:dyDescent="0.3">
      <c r="A17" s="48" t="s">
        <v>94</v>
      </c>
      <c r="B17" s="48"/>
    </row>
    <row r="18" spans="1:5" ht="14.4" x14ac:dyDescent="0.3">
      <c r="A18" s="50"/>
      <c r="B18" s="51" t="s">
        <v>116</v>
      </c>
    </row>
    <row r="19" spans="1:5" ht="13.8" x14ac:dyDescent="0.25">
      <c r="A19" s="52" t="s">
        <v>96</v>
      </c>
      <c r="B19" s="52" t="s">
        <v>97</v>
      </c>
      <c r="C19" s="52" t="s">
        <v>98</v>
      </c>
      <c r="D19" s="52" t="s">
        <v>99</v>
      </c>
      <c r="E19" s="52" t="s">
        <v>100</v>
      </c>
    </row>
    <row r="20" spans="1:5" x14ac:dyDescent="0.25">
      <c r="A20" s="49" t="s">
        <v>225</v>
      </c>
      <c r="B20" s="4" t="s">
        <v>117</v>
      </c>
      <c r="C20" s="4" t="s">
        <v>217</v>
      </c>
      <c r="D20" s="4" t="s">
        <v>231</v>
      </c>
      <c r="E20" s="27" t="s">
        <v>232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6.5546875" style="4" bestFit="1" customWidth="1"/>
    <col min="5" max="5" width="21.77734375" style="4" bestFit="1" customWidth="1"/>
    <col min="6" max="6" width="16.109375" style="4" bestFit="1" customWidth="1"/>
    <col min="7" max="9" width="2.109375" style="3" customWidth="1"/>
    <col min="10" max="10" width="4.5546875" style="3" customWidth="1"/>
    <col min="11" max="13" width="2.109375" style="3" customWidth="1"/>
    <col min="14" max="14" width="4.5546875" style="3" customWidth="1"/>
    <col min="15" max="17" width="2.109375" style="3" customWidth="1"/>
    <col min="18" max="18" width="4.5546875" style="3" customWidth="1"/>
    <col min="19" max="19" width="7.6640625" style="27" bestFit="1" customWidth="1"/>
    <col min="20" max="20" width="5.88671875" style="2" bestFit="1" customWidth="1"/>
    <col min="21" max="21" width="8.33203125" style="4" bestFit="1" customWidth="1"/>
    <col min="22" max="16384" width="9.109375" style="3"/>
  </cols>
  <sheetData>
    <row r="1" spans="1:21" s="2" customFormat="1" ht="28.95" customHeight="1" x14ac:dyDescent="0.25">
      <c r="A1" s="25" t="s">
        <v>223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</row>
    <row r="2" spans="1:21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1" s="1" customFormat="1" ht="12.75" customHeight="1" x14ac:dyDescent="0.25">
      <c r="A3" s="19" t="s">
        <v>0</v>
      </c>
      <c r="B3" s="21" t="s">
        <v>7</v>
      </c>
      <c r="C3" s="21" t="s">
        <v>11</v>
      </c>
      <c r="D3" s="18"/>
      <c r="E3" s="18" t="s">
        <v>4</v>
      </c>
      <c r="F3" s="18" t="s">
        <v>8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 t="s">
        <v>1</v>
      </c>
      <c r="T3" s="18" t="s">
        <v>3</v>
      </c>
      <c r="U3" s="23" t="s">
        <v>2</v>
      </c>
    </row>
    <row r="4" spans="1:21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22"/>
      <c r="T4" s="22"/>
      <c r="U4" s="24"/>
    </row>
    <row r="5" spans="1:21" x14ac:dyDescent="0.25">
      <c r="G5" s="6"/>
    </row>
    <row r="6" spans="1:21" ht="15" x14ac:dyDescent="0.25">
      <c r="E6" s="26" t="s">
        <v>13</v>
      </c>
    </row>
    <row r="7" spans="1:21" ht="15" x14ac:dyDescent="0.25">
      <c r="E7" s="26" t="s">
        <v>14</v>
      </c>
    </row>
    <row r="8" spans="1:21" ht="15" x14ac:dyDescent="0.25">
      <c r="E8" s="26" t="s">
        <v>15</v>
      </c>
    </row>
    <row r="9" spans="1:21" ht="15" x14ac:dyDescent="0.25">
      <c r="E9" s="26" t="s">
        <v>16</v>
      </c>
    </row>
    <row r="10" spans="1:21" ht="15" x14ac:dyDescent="0.25">
      <c r="E10" s="26" t="s">
        <v>16</v>
      </c>
    </row>
    <row r="11" spans="1:21" ht="15" x14ac:dyDescent="0.25">
      <c r="E11" s="26" t="s">
        <v>17</v>
      </c>
    </row>
    <row r="12" spans="1:21" ht="15" x14ac:dyDescent="0.25">
      <c r="E12" s="26"/>
    </row>
    <row r="14" spans="1:21" ht="17.399999999999999" x14ac:dyDescent="0.3">
      <c r="A14" s="28" t="s">
        <v>18</v>
      </c>
      <c r="B14" s="28"/>
    </row>
  </sheetData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9" style="4" bestFit="1" customWidth="1"/>
    <col min="3" max="3" width="14.88671875" style="4" bestFit="1" customWidth="1"/>
    <col min="4" max="4" width="8.21875" style="4" bestFit="1" customWidth="1"/>
    <col min="5" max="5" width="21.77734375" style="4" bestFit="1" customWidth="1"/>
    <col min="6" max="6" width="23.33203125" style="4" bestFit="1" customWidth="1"/>
    <col min="7" max="7" width="4.5546875" style="3" customWidth="1"/>
    <col min="8" max="9" width="5.5546875" style="3" customWidth="1"/>
    <col min="10" max="15" width="4.5546875" style="3" customWidth="1"/>
    <col min="16" max="17" width="5.5546875" style="3" customWidth="1"/>
    <col min="18" max="18" width="4.5546875" style="3" customWidth="1"/>
    <col min="19" max="19" width="7.6640625" style="27" bestFit="1" customWidth="1"/>
    <col min="20" max="20" width="8.5546875" style="2" bestFit="1" customWidth="1"/>
    <col min="21" max="21" width="8.33203125" style="4" bestFit="1" customWidth="1"/>
    <col min="22" max="16384" width="9.109375" style="3"/>
  </cols>
  <sheetData>
    <row r="1" spans="1:21" s="2" customFormat="1" ht="28.95" customHeight="1" x14ac:dyDescent="0.25">
      <c r="A1" s="25" t="s">
        <v>188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</row>
    <row r="2" spans="1:21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1" s="1" customFormat="1" ht="12.75" customHeight="1" x14ac:dyDescent="0.25">
      <c r="A3" s="19" t="s">
        <v>0</v>
      </c>
      <c r="B3" s="21" t="s">
        <v>7</v>
      </c>
      <c r="C3" s="21" t="s">
        <v>11</v>
      </c>
      <c r="D3" s="18" t="s">
        <v>21</v>
      </c>
      <c r="E3" s="18" t="s">
        <v>4</v>
      </c>
      <c r="F3" s="18" t="s">
        <v>8</v>
      </c>
      <c r="G3" s="18" t="s">
        <v>22</v>
      </c>
      <c r="H3" s="18"/>
      <c r="I3" s="18"/>
      <c r="J3" s="18"/>
      <c r="K3" s="18" t="s">
        <v>23</v>
      </c>
      <c r="L3" s="18"/>
      <c r="M3" s="18"/>
      <c r="N3" s="18"/>
      <c r="O3" s="18" t="s">
        <v>24</v>
      </c>
      <c r="P3" s="18"/>
      <c r="Q3" s="18"/>
      <c r="R3" s="18"/>
      <c r="S3" s="18" t="s">
        <v>1</v>
      </c>
      <c r="T3" s="18" t="s">
        <v>3</v>
      </c>
      <c r="U3" s="23" t="s">
        <v>2</v>
      </c>
    </row>
    <row r="4" spans="1:21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22"/>
      <c r="T4" s="22"/>
      <c r="U4" s="24"/>
    </row>
    <row r="5" spans="1:21" ht="15.6" x14ac:dyDescent="0.3">
      <c r="A5" s="29" t="s">
        <v>189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5">
      <c r="A6" s="30" t="s">
        <v>191</v>
      </c>
      <c r="B6" s="30" t="s">
        <v>192</v>
      </c>
      <c r="C6" s="30" t="s">
        <v>193</v>
      </c>
      <c r="D6" s="30" t="str">
        <f>"1,0910"</f>
        <v>1,0910</v>
      </c>
      <c r="E6" s="30" t="s">
        <v>53</v>
      </c>
      <c r="F6" s="30" t="s">
        <v>194</v>
      </c>
      <c r="G6" s="31" t="s">
        <v>195</v>
      </c>
      <c r="H6" s="31" t="s">
        <v>196</v>
      </c>
      <c r="I6" s="31" t="s">
        <v>172</v>
      </c>
      <c r="J6" s="32"/>
      <c r="K6" s="31" t="s">
        <v>197</v>
      </c>
      <c r="L6" s="31" t="s">
        <v>198</v>
      </c>
      <c r="M6" s="31" t="s">
        <v>35</v>
      </c>
      <c r="N6" s="32"/>
      <c r="O6" s="31" t="s">
        <v>33</v>
      </c>
      <c r="P6" s="31" t="s">
        <v>37</v>
      </c>
      <c r="Q6" s="31" t="s">
        <v>199</v>
      </c>
      <c r="R6" s="32"/>
      <c r="S6" s="41" t="str">
        <f>"215,0"</f>
        <v>215,0</v>
      </c>
      <c r="T6" s="42" t="str">
        <f>"234,5650"</f>
        <v>234,5650</v>
      </c>
      <c r="U6" s="30" t="s">
        <v>40</v>
      </c>
    </row>
    <row r="8" spans="1:21" ht="15.6" x14ac:dyDescent="0.3">
      <c r="A8" s="33" t="s">
        <v>25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21" x14ac:dyDescent="0.25">
      <c r="A9" s="30" t="s">
        <v>201</v>
      </c>
      <c r="B9" s="30" t="s">
        <v>202</v>
      </c>
      <c r="C9" s="30" t="s">
        <v>203</v>
      </c>
      <c r="D9" s="30" t="str">
        <f>"0,9889"</f>
        <v>0,9889</v>
      </c>
      <c r="E9" s="30" t="s">
        <v>204</v>
      </c>
      <c r="F9" s="30" t="s">
        <v>194</v>
      </c>
      <c r="G9" s="31" t="s">
        <v>37</v>
      </c>
      <c r="H9" s="31" t="s">
        <v>205</v>
      </c>
      <c r="I9" s="32" t="s">
        <v>206</v>
      </c>
      <c r="J9" s="32"/>
      <c r="K9" s="31" t="s">
        <v>35</v>
      </c>
      <c r="L9" s="31" t="s">
        <v>171</v>
      </c>
      <c r="M9" s="32" t="s">
        <v>207</v>
      </c>
      <c r="N9" s="32"/>
      <c r="O9" s="31" t="s">
        <v>37</v>
      </c>
      <c r="P9" s="31" t="s">
        <v>173</v>
      </c>
      <c r="Q9" s="31" t="s">
        <v>38</v>
      </c>
      <c r="R9" s="32"/>
      <c r="S9" s="41" t="str">
        <f>"247,5"</f>
        <v>247,5</v>
      </c>
      <c r="T9" s="42" t="str">
        <f>"244,7528"</f>
        <v>244,7528</v>
      </c>
      <c r="U9" s="30" t="s">
        <v>40</v>
      </c>
    </row>
    <row r="11" spans="1:21" ht="15.6" x14ac:dyDescent="0.3">
      <c r="A11" s="33" t="s">
        <v>208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21" x14ac:dyDescent="0.25">
      <c r="A12" s="30" t="s">
        <v>210</v>
      </c>
      <c r="B12" s="30" t="s">
        <v>211</v>
      </c>
      <c r="C12" s="30" t="s">
        <v>212</v>
      </c>
      <c r="D12" s="30" t="str">
        <f>"0,8361"</f>
        <v>0,8361</v>
      </c>
      <c r="E12" s="30" t="s">
        <v>213</v>
      </c>
      <c r="F12" s="30" t="s">
        <v>214</v>
      </c>
      <c r="G12" s="31" t="s">
        <v>34</v>
      </c>
      <c r="H12" s="32" t="s">
        <v>173</v>
      </c>
      <c r="I12" s="31" t="s">
        <v>206</v>
      </c>
      <c r="J12" s="32"/>
      <c r="K12" s="31" t="s">
        <v>35</v>
      </c>
      <c r="L12" s="31" t="s">
        <v>171</v>
      </c>
      <c r="M12" s="32" t="s">
        <v>215</v>
      </c>
      <c r="N12" s="32"/>
      <c r="O12" s="31" t="s">
        <v>37</v>
      </c>
      <c r="P12" s="31" t="s">
        <v>199</v>
      </c>
      <c r="Q12" s="31" t="s">
        <v>206</v>
      </c>
      <c r="R12" s="32"/>
      <c r="S12" s="41" t="str">
        <f>"250,0"</f>
        <v>250,0</v>
      </c>
      <c r="T12" s="42" t="str">
        <f>"209,0250"</f>
        <v>209,0250</v>
      </c>
      <c r="U12" s="30" t="s">
        <v>40</v>
      </c>
    </row>
    <row r="14" spans="1:21" ht="15" x14ac:dyDescent="0.25">
      <c r="E14" s="26" t="s">
        <v>13</v>
      </c>
    </row>
    <row r="15" spans="1:21" ht="15" x14ac:dyDescent="0.25">
      <c r="E15" s="26" t="s">
        <v>14</v>
      </c>
    </row>
    <row r="16" spans="1:21" ht="15" x14ac:dyDescent="0.25">
      <c r="E16" s="26" t="s">
        <v>15</v>
      </c>
    </row>
    <row r="17" spans="1:5" ht="15" x14ac:dyDescent="0.25">
      <c r="E17" s="26" t="s">
        <v>16</v>
      </c>
    </row>
    <row r="18" spans="1:5" ht="15" x14ac:dyDescent="0.25">
      <c r="E18" s="26" t="s">
        <v>16</v>
      </c>
    </row>
    <row r="19" spans="1:5" ht="15" x14ac:dyDescent="0.25">
      <c r="E19" s="26" t="s">
        <v>17</v>
      </c>
    </row>
    <row r="20" spans="1:5" ht="15" x14ac:dyDescent="0.25">
      <c r="E20" s="26"/>
    </row>
    <row r="22" spans="1:5" ht="17.399999999999999" x14ac:dyDescent="0.3">
      <c r="A22" s="28" t="s">
        <v>18</v>
      </c>
      <c r="B22" s="28"/>
    </row>
    <row r="23" spans="1:5" ht="15.6" x14ac:dyDescent="0.3">
      <c r="A23" s="48" t="s">
        <v>94</v>
      </c>
      <c r="B23" s="48"/>
    </row>
    <row r="24" spans="1:5" ht="14.4" x14ac:dyDescent="0.3">
      <c r="A24" s="50"/>
      <c r="B24" s="51" t="s">
        <v>182</v>
      </c>
    </row>
    <row r="25" spans="1:5" ht="13.8" x14ac:dyDescent="0.25">
      <c r="A25" s="52" t="s">
        <v>96</v>
      </c>
      <c r="B25" s="52" t="s">
        <v>97</v>
      </c>
      <c r="C25" s="52" t="s">
        <v>98</v>
      </c>
      <c r="D25" s="52" t="s">
        <v>99</v>
      </c>
      <c r="E25" s="52" t="s">
        <v>100</v>
      </c>
    </row>
    <row r="26" spans="1:5" x14ac:dyDescent="0.25">
      <c r="A26" s="49" t="s">
        <v>209</v>
      </c>
      <c r="B26" s="4" t="s">
        <v>216</v>
      </c>
      <c r="C26" s="4" t="s">
        <v>217</v>
      </c>
      <c r="D26" s="4" t="s">
        <v>61</v>
      </c>
      <c r="E26" s="27" t="s">
        <v>218</v>
      </c>
    </row>
    <row r="28" spans="1:5" ht="14.4" x14ac:dyDescent="0.3">
      <c r="A28" s="50"/>
      <c r="B28" s="51" t="s">
        <v>95</v>
      </c>
    </row>
    <row r="29" spans="1:5" ht="13.8" x14ac:dyDescent="0.25">
      <c r="A29" s="52" t="s">
        <v>96</v>
      </c>
      <c r="B29" s="52" t="s">
        <v>97</v>
      </c>
      <c r="C29" s="52" t="s">
        <v>98</v>
      </c>
      <c r="D29" s="52" t="s">
        <v>99</v>
      </c>
      <c r="E29" s="52" t="s">
        <v>100</v>
      </c>
    </row>
    <row r="30" spans="1:5" x14ac:dyDescent="0.25">
      <c r="A30" s="49" t="s">
        <v>200</v>
      </c>
      <c r="B30" s="4" t="s">
        <v>95</v>
      </c>
      <c r="C30" s="4" t="s">
        <v>101</v>
      </c>
      <c r="D30" s="4" t="s">
        <v>219</v>
      </c>
      <c r="E30" s="27" t="s">
        <v>220</v>
      </c>
    </row>
    <row r="31" spans="1:5" x14ac:dyDescent="0.25">
      <c r="A31" s="49" t="s">
        <v>190</v>
      </c>
      <c r="B31" s="4" t="s">
        <v>95</v>
      </c>
      <c r="C31" s="4" t="s">
        <v>221</v>
      </c>
      <c r="D31" s="4" t="s">
        <v>71</v>
      </c>
      <c r="E31" s="27" t="s">
        <v>222</v>
      </c>
    </row>
  </sheetData>
  <mergeCells count="16">
    <mergeCell ref="A8:R8"/>
    <mergeCell ref="A11:R11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6.5546875" style="4" bestFit="1" customWidth="1"/>
    <col min="5" max="5" width="21.77734375" style="4" bestFit="1" customWidth="1"/>
    <col min="6" max="6" width="16.109375" style="4" bestFit="1" customWidth="1"/>
    <col min="7" max="9" width="2.109375" style="3" customWidth="1"/>
    <col min="10" max="10" width="4.5546875" style="3" customWidth="1"/>
    <col min="11" max="11" width="7.6640625" style="27" bestFit="1" customWidth="1"/>
    <col min="12" max="12" width="5.88671875" style="2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5" t="s">
        <v>510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/>
      <c r="E3" s="18" t="s">
        <v>4</v>
      </c>
      <c r="F3" s="18" t="s">
        <v>8</v>
      </c>
      <c r="G3" s="18"/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5" spans="1:13" x14ac:dyDescent="0.25">
      <c r="G5" s="6"/>
    </row>
    <row r="6" spans="1:13" ht="15" x14ac:dyDescent="0.25">
      <c r="E6" s="26" t="s">
        <v>13</v>
      </c>
    </row>
    <row r="7" spans="1:13" ht="15" x14ac:dyDescent="0.25">
      <c r="E7" s="26" t="s">
        <v>14</v>
      </c>
    </row>
    <row r="8" spans="1:13" ht="15" x14ac:dyDescent="0.25">
      <c r="E8" s="26" t="s">
        <v>15</v>
      </c>
    </row>
    <row r="9" spans="1:13" ht="15" x14ac:dyDescent="0.25">
      <c r="E9" s="26" t="s">
        <v>16</v>
      </c>
    </row>
    <row r="10" spans="1:13" ht="15" x14ac:dyDescent="0.25">
      <c r="E10" s="26" t="s">
        <v>16</v>
      </c>
    </row>
    <row r="11" spans="1:13" ht="15" x14ac:dyDescent="0.25">
      <c r="E11" s="26" t="s">
        <v>17</v>
      </c>
    </row>
    <row r="12" spans="1:13" ht="15" x14ac:dyDescent="0.25">
      <c r="E12" s="26"/>
    </row>
    <row r="14" spans="1:13" ht="17.399999999999999" x14ac:dyDescent="0.3">
      <c r="A14" s="28" t="s">
        <v>18</v>
      </c>
      <c r="B14" s="28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9" style="4" bestFit="1" customWidth="1"/>
    <col min="3" max="3" width="14.88671875" style="4" bestFit="1" customWidth="1"/>
    <col min="4" max="4" width="8.21875" style="4" bestFit="1" customWidth="1"/>
    <col min="5" max="5" width="21.77734375" style="4" bestFit="1" customWidth="1"/>
    <col min="6" max="6" width="30.21875" style="4" bestFit="1" customWidth="1"/>
    <col min="7" max="9" width="5.5546875" style="3" customWidth="1"/>
    <col min="10" max="10" width="4.5546875" style="3" customWidth="1"/>
    <col min="11" max="13" width="5.5546875" style="3" customWidth="1"/>
    <col min="14" max="14" width="4.5546875" style="3" customWidth="1"/>
    <col min="15" max="17" width="5.5546875" style="3" customWidth="1"/>
    <col min="18" max="18" width="4.5546875" style="3" customWidth="1"/>
    <col min="19" max="19" width="7.6640625" style="27" bestFit="1" customWidth="1"/>
    <col min="20" max="20" width="8.5546875" style="2" bestFit="1" customWidth="1"/>
    <col min="21" max="21" width="8.33203125" style="4" bestFit="1" customWidth="1"/>
    <col min="22" max="16384" width="9.109375" style="3"/>
  </cols>
  <sheetData>
    <row r="1" spans="1:21" s="2" customFormat="1" ht="28.95" customHeight="1" x14ac:dyDescent="0.25">
      <c r="A1" s="25" t="s">
        <v>163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</row>
    <row r="2" spans="1:21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1" s="1" customFormat="1" ht="12.75" customHeight="1" x14ac:dyDescent="0.25">
      <c r="A3" s="19" t="s">
        <v>0</v>
      </c>
      <c r="B3" s="21" t="s">
        <v>7</v>
      </c>
      <c r="C3" s="21" t="s">
        <v>11</v>
      </c>
      <c r="D3" s="18" t="s">
        <v>21</v>
      </c>
      <c r="E3" s="18" t="s">
        <v>4</v>
      </c>
      <c r="F3" s="18" t="s">
        <v>8</v>
      </c>
      <c r="G3" s="18" t="s">
        <v>22</v>
      </c>
      <c r="H3" s="18"/>
      <c r="I3" s="18"/>
      <c r="J3" s="18"/>
      <c r="K3" s="18" t="s">
        <v>23</v>
      </c>
      <c r="L3" s="18"/>
      <c r="M3" s="18"/>
      <c r="N3" s="18"/>
      <c r="O3" s="18" t="s">
        <v>24</v>
      </c>
      <c r="P3" s="18"/>
      <c r="Q3" s="18"/>
      <c r="R3" s="18"/>
      <c r="S3" s="18" t="s">
        <v>1</v>
      </c>
      <c r="T3" s="18" t="s">
        <v>3</v>
      </c>
      <c r="U3" s="23" t="s">
        <v>2</v>
      </c>
    </row>
    <row r="4" spans="1:21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22"/>
      <c r="T4" s="22"/>
      <c r="U4" s="24"/>
    </row>
    <row r="5" spans="1:21" ht="15.6" x14ac:dyDescent="0.3">
      <c r="A5" s="29" t="s">
        <v>164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5">
      <c r="A6" s="30" t="s">
        <v>166</v>
      </c>
      <c r="B6" s="30" t="s">
        <v>167</v>
      </c>
      <c r="C6" s="30" t="s">
        <v>168</v>
      </c>
      <c r="D6" s="30" t="str">
        <f>"1,1093"</f>
        <v>1,1093</v>
      </c>
      <c r="E6" s="30" t="s">
        <v>53</v>
      </c>
      <c r="F6" s="30" t="s">
        <v>31</v>
      </c>
      <c r="G6" s="31" t="s">
        <v>36</v>
      </c>
      <c r="H6" s="32" t="s">
        <v>169</v>
      </c>
      <c r="I6" s="31" t="s">
        <v>33</v>
      </c>
      <c r="J6" s="32"/>
      <c r="K6" s="31" t="s">
        <v>170</v>
      </c>
      <c r="L6" s="31" t="s">
        <v>35</v>
      </c>
      <c r="M6" s="31" t="s">
        <v>171</v>
      </c>
      <c r="N6" s="32"/>
      <c r="O6" s="31" t="s">
        <v>172</v>
      </c>
      <c r="P6" s="31" t="s">
        <v>37</v>
      </c>
      <c r="Q6" s="31" t="s">
        <v>173</v>
      </c>
      <c r="R6" s="32"/>
      <c r="S6" s="41" t="str">
        <f>"220,0"</f>
        <v>220,0</v>
      </c>
      <c r="T6" s="42" t="str">
        <f>"244,0460"</f>
        <v>244,0460</v>
      </c>
      <c r="U6" s="30" t="s">
        <v>40</v>
      </c>
    </row>
    <row r="8" spans="1:21" ht="15.6" x14ac:dyDescent="0.3">
      <c r="A8" s="33" t="s">
        <v>121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21" x14ac:dyDescent="0.25">
      <c r="A9" s="30" t="s">
        <v>175</v>
      </c>
      <c r="B9" s="30" t="s">
        <v>176</v>
      </c>
      <c r="C9" s="30" t="s">
        <v>177</v>
      </c>
      <c r="D9" s="30" t="str">
        <f>"0,6145"</f>
        <v>0,6145</v>
      </c>
      <c r="E9" s="30" t="s">
        <v>53</v>
      </c>
      <c r="F9" s="30" t="s">
        <v>31</v>
      </c>
      <c r="G9" s="31" t="s">
        <v>91</v>
      </c>
      <c r="H9" s="31" t="s">
        <v>74</v>
      </c>
      <c r="I9" s="31" t="s">
        <v>178</v>
      </c>
      <c r="J9" s="32"/>
      <c r="K9" s="31" t="s">
        <v>179</v>
      </c>
      <c r="L9" s="31" t="s">
        <v>180</v>
      </c>
      <c r="M9" s="31" t="s">
        <v>181</v>
      </c>
      <c r="N9" s="32"/>
      <c r="O9" s="31" t="s">
        <v>90</v>
      </c>
      <c r="P9" s="31" t="s">
        <v>57</v>
      </c>
      <c r="Q9" s="32" t="s">
        <v>82</v>
      </c>
      <c r="R9" s="32"/>
      <c r="S9" s="41" t="str">
        <f>"522,5"</f>
        <v>522,5</v>
      </c>
      <c r="T9" s="42" t="str">
        <f>"321,1024"</f>
        <v>321,1024</v>
      </c>
      <c r="U9" s="30" t="s">
        <v>40</v>
      </c>
    </row>
    <row r="11" spans="1:21" ht="15" x14ac:dyDescent="0.25">
      <c r="E11" s="26" t="s">
        <v>13</v>
      </c>
    </row>
    <row r="12" spans="1:21" ht="15" x14ac:dyDescent="0.25">
      <c r="E12" s="26" t="s">
        <v>14</v>
      </c>
    </row>
    <row r="13" spans="1:21" ht="15" x14ac:dyDescent="0.25">
      <c r="E13" s="26" t="s">
        <v>15</v>
      </c>
    </row>
    <row r="14" spans="1:21" ht="15" x14ac:dyDescent="0.25">
      <c r="E14" s="26" t="s">
        <v>16</v>
      </c>
    </row>
    <row r="15" spans="1:21" ht="15" x14ac:dyDescent="0.25">
      <c r="E15" s="26" t="s">
        <v>16</v>
      </c>
    </row>
    <row r="16" spans="1:21" ht="15" x14ac:dyDescent="0.25">
      <c r="E16" s="26" t="s">
        <v>17</v>
      </c>
    </row>
    <row r="17" spans="1:5" ht="15" x14ac:dyDescent="0.25">
      <c r="E17" s="26"/>
    </row>
    <row r="19" spans="1:5" ht="17.399999999999999" x14ac:dyDescent="0.3">
      <c r="A19" s="28" t="s">
        <v>18</v>
      </c>
      <c r="B19" s="28"/>
    </row>
    <row r="20" spans="1:5" ht="15.6" x14ac:dyDescent="0.3">
      <c r="A20" s="48" t="s">
        <v>94</v>
      </c>
      <c r="B20" s="48"/>
    </row>
    <row r="21" spans="1:5" ht="14.4" x14ac:dyDescent="0.3">
      <c r="A21" s="50"/>
      <c r="B21" s="51" t="s">
        <v>182</v>
      </c>
    </row>
    <row r="22" spans="1:5" ht="13.8" x14ac:dyDescent="0.25">
      <c r="A22" s="52" t="s">
        <v>96</v>
      </c>
      <c r="B22" s="52" t="s">
        <v>97</v>
      </c>
      <c r="C22" s="52" t="s">
        <v>98</v>
      </c>
      <c r="D22" s="52" t="s">
        <v>99</v>
      </c>
      <c r="E22" s="52" t="s">
        <v>100</v>
      </c>
    </row>
    <row r="23" spans="1:5" x14ac:dyDescent="0.25">
      <c r="A23" s="49" t="s">
        <v>165</v>
      </c>
      <c r="B23" s="4" t="s">
        <v>183</v>
      </c>
      <c r="C23" s="4" t="s">
        <v>184</v>
      </c>
      <c r="D23" s="4" t="s">
        <v>82</v>
      </c>
      <c r="E23" s="27" t="s">
        <v>185</v>
      </c>
    </row>
    <row r="26" spans="1:5" ht="15.6" x14ac:dyDescent="0.3">
      <c r="A26" s="48" t="s">
        <v>106</v>
      </c>
      <c r="B26" s="48"/>
    </row>
    <row r="27" spans="1:5" ht="14.4" x14ac:dyDescent="0.3">
      <c r="A27" s="50"/>
      <c r="B27" s="51" t="s">
        <v>95</v>
      </c>
    </row>
    <row r="28" spans="1:5" ht="13.8" x14ac:dyDescent="0.25">
      <c r="A28" s="52" t="s">
        <v>96</v>
      </c>
      <c r="B28" s="52" t="s">
        <v>97</v>
      </c>
      <c r="C28" s="52" t="s">
        <v>98</v>
      </c>
      <c r="D28" s="52" t="s">
        <v>99</v>
      </c>
      <c r="E28" s="52" t="s">
        <v>100</v>
      </c>
    </row>
    <row r="29" spans="1:5" x14ac:dyDescent="0.25">
      <c r="A29" s="49" t="s">
        <v>174</v>
      </c>
      <c r="B29" s="4" t="s">
        <v>95</v>
      </c>
      <c r="C29" s="4" t="s">
        <v>129</v>
      </c>
      <c r="D29" s="4" t="s">
        <v>186</v>
      </c>
      <c r="E29" s="27" t="s">
        <v>187</v>
      </c>
    </row>
  </sheetData>
  <mergeCells count="15">
    <mergeCell ref="A8:R8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6.5546875" style="4" bestFit="1" customWidth="1"/>
    <col min="5" max="5" width="21.77734375" style="4" bestFit="1" customWidth="1"/>
    <col min="6" max="6" width="16.109375" style="4" bestFit="1" customWidth="1"/>
    <col min="7" max="9" width="2.109375" style="3" customWidth="1"/>
    <col min="10" max="10" width="4.5546875" style="3" customWidth="1"/>
    <col min="11" max="11" width="7.6640625" style="27" bestFit="1" customWidth="1"/>
    <col min="12" max="12" width="5.88671875" style="2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5" t="s">
        <v>162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/>
      <c r="E3" s="18" t="s">
        <v>4</v>
      </c>
      <c r="F3" s="18" t="s">
        <v>8</v>
      </c>
      <c r="G3" s="18"/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6" spans="1:13" ht="15" x14ac:dyDescent="0.25">
      <c r="E6" s="26" t="s">
        <v>13</v>
      </c>
    </row>
    <row r="7" spans="1:13" ht="15" x14ac:dyDescent="0.25">
      <c r="E7" s="26" t="s">
        <v>14</v>
      </c>
    </row>
    <row r="8" spans="1:13" ht="15" x14ac:dyDescent="0.25">
      <c r="E8" s="26" t="s">
        <v>15</v>
      </c>
    </row>
    <row r="9" spans="1:13" ht="15" x14ac:dyDescent="0.25">
      <c r="E9" s="26" t="s">
        <v>16</v>
      </c>
    </row>
    <row r="10" spans="1:13" ht="15" x14ac:dyDescent="0.25">
      <c r="E10" s="26" t="s">
        <v>16</v>
      </c>
    </row>
    <row r="11" spans="1:13" ht="15" x14ac:dyDescent="0.25">
      <c r="E11" s="26" t="s">
        <v>17</v>
      </c>
    </row>
    <row r="12" spans="1:13" ht="15" x14ac:dyDescent="0.25">
      <c r="E12" s="26"/>
    </row>
    <row r="14" spans="1:13" ht="17.399999999999999" x14ac:dyDescent="0.3">
      <c r="A14" s="28" t="s">
        <v>18</v>
      </c>
      <c r="B14" s="28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11.88671875" style="4" bestFit="1" customWidth="1"/>
    <col min="5" max="5" width="21.77734375" style="4" bestFit="1" customWidth="1"/>
    <col min="6" max="6" width="29.109375" style="4" bestFit="1" customWidth="1"/>
    <col min="7" max="9" width="5.5546875" style="3" customWidth="1"/>
    <col min="10" max="10" width="4.5546875" style="3" customWidth="1"/>
    <col min="11" max="11" width="7.6640625" style="27" bestFit="1" customWidth="1"/>
    <col min="12" max="12" width="8.5546875" style="2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5" t="s">
        <v>149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 t="s">
        <v>21</v>
      </c>
      <c r="E3" s="18" t="s">
        <v>4</v>
      </c>
      <c r="F3" s="18" t="s">
        <v>8</v>
      </c>
      <c r="G3" s="18" t="s">
        <v>23</v>
      </c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5" spans="1:13" ht="15.6" x14ac:dyDescent="0.3">
      <c r="A5" s="29" t="s">
        <v>48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5">
      <c r="A6" s="30" t="s">
        <v>151</v>
      </c>
      <c r="B6" s="30" t="s">
        <v>152</v>
      </c>
      <c r="C6" s="30" t="s">
        <v>153</v>
      </c>
      <c r="D6" s="30" t="str">
        <f>"0,6503"</f>
        <v>0,6503</v>
      </c>
      <c r="E6" s="30" t="s">
        <v>68</v>
      </c>
      <c r="F6" s="30" t="s">
        <v>69</v>
      </c>
      <c r="G6" s="32" t="s">
        <v>77</v>
      </c>
      <c r="H6" s="31" t="s">
        <v>77</v>
      </c>
      <c r="I6" s="32" t="s">
        <v>154</v>
      </c>
      <c r="J6" s="32"/>
      <c r="K6" s="41" t="str">
        <f>"245,0"</f>
        <v>245,0</v>
      </c>
      <c r="L6" s="42" t="str">
        <f>"159,3113"</f>
        <v>159,3113</v>
      </c>
      <c r="M6" s="30" t="s">
        <v>40</v>
      </c>
    </row>
    <row r="8" spans="1:13" ht="15.6" x14ac:dyDescent="0.3">
      <c r="A8" s="33" t="s">
        <v>63</v>
      </c>
      <c r="B8" s="43"/>
      <c r="C8" s="43"/>
      <c r="D8" s="43"/>
      <c r="E8" s="43"/>
      <c r="F8" s="43"/>
      <c r="G8" s="43"/>
      <c r="H8" s="43"/>
      <c r="I8" s="43"/>
      <c r="J8" s="43"/>
    </row>
    <row r="9" spans="1:13" x14ac:dyDescent="0.25">
      <c r="A9" s="30" t="s">
        <v>156</v>
      </c>
      <c r="B9" s="30" t="s">
        <v>157</v>
      </c>
      <c r="C9" s="30" t="s">
        <v>158</v>
      </c>
      <c r="D9" s="30" t="str">
        <f>"0,5816"</f>
        <v>0,5816</v>
      </c>
      <c r="E9" s="30" t="s">
        <v>68</v>
      </c>
      <c r="F9" s="30" t="s">
        <v>69</v>
      </c>
      <c r="G9" s="31" t="s">
        <v>62</v>
      </c>
      <c r="H9" s="31" t="s">
        <v>93</v>
      </c>
      <c r="I9" s="31" t="s">
        <v>159</v>
      </c>
      <c r="J9" s="32"/>
      <c r="K9" s="41" t="str">
        <f>"280,0"</f>
        <v>280,0</v>
      </c>
      <c r="L9" s="42" t="str">
        <f>"162,8340"</f>
        <v>162,8340</v>
      </c>
      <c r="M9" s="30" t="s">
        <v>40</v>
      </c>
    </row>
    <row r="11" spans="1:13" ht="15" x14ac:dyDescent="0.25">
      <c r="E11" s="26" t="s">
        <v>13</v>
      </c>
    </row>
    <row r="12" spans="1:13" ht="15" x14ac:dyDescent="0.25">
      <c r="E12" s="26" t="s">
        <v>14</v>
      </c>
    </row>
    <row r="13" spans="1:13" ht="15" x14ac:dyDescent="0.25">
      <c r="E13" s="26" t="s">
        <v>15</v>
      </c>
    </row>
    <row r="14" spans="1:13" ht="15" x14ac:dyDescent="0.25">
      <c r="E14" s="26" t="s">
        <v>16</v>
      </c>
    </row>
    <row r="15" spans="1:13" ht="15" x14ac:dyDescent="0.25">
      <c r="E15" s="26" t="s">
        <v>16</v>
      </c>
    </row>
    <row r="16" spans="1:13" ht="15" x14ac:dyDescent="0.25">
      <c r="E16" s="26" t="s">
        <v>17</v>
      </c>
    </row>
    <row r="17" spans="1:5" ht="15" x14ac:dyDescent="0.25">
      <c r="E17" s="26"/>
    </row>
    <row r="19" spans="1:5" ht="17.399999999999999" x14ac:dyDescent="0.3">
      <c r="A19" s="28" t="s">
        <v>18</v>
      </c>
      <c r="B19" s="28"/>
    </row>
    <row r="20" spans="1:5" ht="15.6" x14ac:dyDescent="0.3">
      <c r="A20" s="48" t="s">
        <v>106</v>
      </c>
      <c r="B20" s="48"/>
    </row>
    <row r="21" spans="1:5" ht="14.4" x14ac:dyDescent="0.3">
      <c r="A21" s="50"/>
      <c r="B21" s="51" t="s">
        <v>95</v>
      </c>
    </row>
    <row r="22" spans="1:5" ht="13.8" x14ac:dyDescent="0.25">
      <c r="A22" s="52" t="s">
        <v>96</v>
      </c>
      <c r="B22" s="52" t="s">
        <v>97</v>
      </c>
      <c r="C22" s="52" t="s">
        <v>98</v>
      </c>
      <c r="D22" s="52" t="s">
        <v>142</v>
      </c>
      <c r="E22" s="52" t="s">
        <v>100</v>
      </c>
    </row>
    <row r="23" spans="1:5" x14ac:dyDescent="0.25">
      <c r="A23" s="49" t="s">
        <v>155</v>
      </c>
      <c r="B23" s="4" t="s">
        <v>95</v>
      </c>
      <c r="C23" s="4" t="s">
        <v>110</v>
      </c>
      <c r="D23" s="4" t="s">
        <v>159</v>
      </c>
      <c r="E23" s="27" t="s">
        <v>160</v>
      </c>
    </row>
    <row r="24" spans="1:5" x14ac:dyDescent="0.25">
      <c r="A24" s="49" t="s">
        <v>150</v>
      </c>
      <c r="B24" s="4" t="s">
        <v>95</v>
      </c>
      <c r="C24" s="4" t="s">
        <v>107</v>
      </c>
      <c r="D24" s="4" t="s">
        <v>77</v>
      </c>
      <c r="E24" s="27" t="s">
        <v>161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6.5546875" style="4" bestFit="1" customWidth="1"/>
    <col min="5" max="5" width="21.77734375" style="4" bestFit="1" customWidth="1"/>
    <col min="6" max="6" width="16.109375" style="4" bestFit="1" customWidth="1"/>
    <col min="7" max="9" width="2.109375" style="3" customWidth="1"/>
    <col min="10" max="10" width="4.5546875" style="3" customWidth="1"/>
    <col min="11" max="11" width="7.6640625" style="27" bestFit="1" customWidth="1"/>
    <col min="12" max="12" width="5.88671875" style="2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5" t="s">
        <v>148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/>
      <c r="E3" s="18" t="s">
        <v>4</v>
      </c>
      <c r="F3" s="18" t="s">
        <v>8</v>
      </c>
      <c r="G3" s="18"/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6" spans="1:13" ht="15" x14ac:dyDescent="0.25">
      <c r="E6" s="26" t="s">
        <v>13</v>
      </c>
    </row>
    <row r="7" spans="1:13" ht="15" x14ac:dyDescent="0.25">
      <c r="E7" s="26" t="s">
        <v>14</v>
      </c>
    </row>
    <row r="8" spans="1:13" ht="15" x14ac:dyDescent="0.25">
      <c r="E8" s="26" t="s">
        <v>15</v>
      </c>
    </row>
    <row r="9" spans="1:13" ht="15" x14ac:dyDescent="0.25">
      <c r="E9" s="26" t="s">
        <v>16</v>
      </c>
    </row>
    <row r="10" spans="1:13" ht="15" x14ac:dyDescent="0.25">
      <c r="E10" s="26" t="s">
        <v>16</v>
      </c>
    </row>
    <row r="11" spans="1:13" ht="15" x14ac:dyDescent="0.25">
      <c r="E11" s="26" t="s">
        <v>17</v>
      </c>
    </row>
    <row r="12" spans="1:13" ht="15" x14ac:dyDescent="0.25">
      <c r="E12" s="26"/>
    </row>
    <row r="14" spans="1:13" ht="17.399999999999999" x14ac:dyDescent="0.3">
      <c r="A14" s="28" t="s">
        <v>18</v>
      </c>
      <c r="B14" s="28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6.5546875" style="4" bestFit="1" customWidth="1"/>
    <col min="5" max="5" width="21.77734375" style="4" bestFit="1" customWidth="1"/>
    <col min="6" max="6" width="16.109375" style="4" bestFit="1" customWidth="1"/>
    <col min="7" max="9" width="2.109375" style="3" customWidth="1"/>
    <col min="10" max="10" width="4.5546875" style="3" customWidth="1"/>
    <col min="11" max="11" width="7.6640625" style="27" bestFit="1" customWidth="1"/>
    <col min="12" max="12" width="5.88671875" style="2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5" t="s">
        <v>147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/>
      <c r="E3" s="18" t="s">
        <v>4</v>
      </c>
      <c r="F3" s="18" t="s">
        <v>8</v>
      </c>
      <c r="G3" s="18"/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6" spans="1:13" ht="15" x14ac:dyDescent="0.25">
      <c r="E6" s="26" t="s">
        <v>13</v>
      </c>
    </row>
    <row r="7" spans="1:13" ht="15" x14ac:dyDescent="0.25">
      <c r="E7" s="26" t="s">
        <v>14</v>
      </c>
    </row>
    <row r="8" spans="1:13" ht="15" x14ac:dyDescent="0.25">
      <c r="E8" s="26" t="s">
        <v>15</v>
      </c>
    </row>
    <row r="9" spans="1:13" ht="15" x14ac:dyDescent="0.25">
      <c r="E9" s="26" t="s">
        <v>16</v>
      </c>
    </row>
    <row r="10" spans="1:13" ht="15" x14ac:dyDescent="0.25">
      <c r="E10" s="26" t="s">
        <v>16</v>
      </c>
    </row>
    <row r="11" spans="1:13" ht="15" x14ac:dyDescent="0.25">
      <c r="E11" s="26" t="s">
        <v>17</v>
      </c>
    </row>
    <row r="12" spans="1:13" ht="15" x14ac:dyDescent="0.25">
      <c r="E12" s="26"/>
    </row>
    <row r="14" spans="1:13" ht="17.399999999999999" x14ac:dyDescent="0.3">
      <c r="A14" s="28" t="s">
        <v>18</v>
      </c>
      <c r="B14" s="28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9.88671875" style="4" bestFit="1" customWidth="1"/>
    <col min="3" max="3" width="14.88671875" style="4" bestFit="1" customWidth="1"/>
    <col min="4" max="4" width="11.88671875" style="4" bestFit="1" customWidth="1"/>
    <col min="5" max="5" width="21.77734375" style="4" bestFit="1" customWidth="1"/>
    <col min="6" max="6" width="38.21875" style="4" bestFit="1" customWidth="1"/>
    <col min="7" max="9" width="5.5546875" style="3" customWidth="1"/>
    <col min="10" max="10" width="4.5546875" style="3" customWidth="1"/>
    <col min="11" max="11" width="7.6640625" style="27" bestFit="1" customWidth="1"/>
    <col min="12" max="12" width="8.5546875" style="2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5" t="s">
        <v>133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 t="s">
        <v>21</v>
      </c>
      <c r="E3" s="18" t="s">
        <v>4</v>
      </c>
      <c r="F3" s="18" t="s">
        <v>8</v>
      </c>
      <c r="G3" s="18" t="s">
        <v>23</v>
      </c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5" spans="1:13" ht="15.6" x14ac:dyDescent="0.3">
      <c r="A5" s="29" t="s">
        <v>85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5">
      <c r="A6" s="34" t="s">
        <v>135</v>
      </c>
      <c r="B6" s="34" t="s">
        <v>136</v>
      </c>
      <c r="C6" s="34" t="s">
        <v>137</v>
      </c>
      <c r="D6" s="34" t="str">
        <f>"0,5694"</f>
        <v>0,5694</v>
      </c>
      <c r="E6" s="34" t="s">
        <v>138</v>
      </c>
      <c r="F6" s="34" t="s">
        <v>139</v>
      </c>
      <c r="G6" s="35" t="s">
        <v>55</v>
      </c>
      <c r="H6" s="36" t="s">
        <v>140</v>
      </c>
      <c r="I6" s="36" t="s">
        <v>140</v>
      </c>
      <c r="J6" s="36"/>
      <c r="K6" s="44" t="str">
        <f>"185,0"</f>
        <v>185,0</v>
      </c>
      <c r="L6" s="45" t="str">
        <f>"105,3390"</f>
        <v>105,3390</v>
      </c>
      <c r="M6" s="34" t="s">
        <v>40</v>
      </c>
    </row>
    <row r="7" spans="1:13" x14ac:dyDescent="0.25">
      <c r="A7" s="37" t="s">
        <v>135</v>
      </c>
      <c r="B7" s="37" t="s">
        <v>141</v>
      </c>
      <c r="C7" s="37" t="s">
        <v>137</v>
      </c>
      <c r="D7" s="37" t="str">
        <f>"0,5694"</f>
        <v>0,5694</v>
      </c>
      <c r="E7" s="37" t="s">
        <v>138</v>
      </c>
      <c r="F7" s="37" t="s">
        <v>139</v>
      </c>
      <c r="G7" s="38" t="s">
        <v>55</v>
      </c>
      <c r="H7" s="39" t="s">
        <v>140</v>
      </c>
      <c r="I7" s="39" t="s">
        <v>140</v>
      </c>
      <c r="J7" s="39"/>
      <c r="K7" s="46" t="str">
        <f>"185,0"</f>
        <v>185,0</v>
      </c>
      <c r="L7" s="47" t="str">
        <f>"115,5569"</f>
        <v>115,5569</v>
      </c>
      <c r="M7" s="37" t="s">
        <v>40</v>
      </c>
    </row>
    <row r="9" spans="1:13" ht="15" x14ac:dyDescent="0.25">
      <c r="E9" s="26" t="s">
        <v>13</v>
      </c>
    </row>
    <row r="10" spans="1:13" ht="15" x14ac:dyDescent="0.25">
      <c r="E10" s="26" t="s">
        <v>14</v>
      </c>
    </row>
    <row r="11" spans="1:13" ht="15" x14ac:dyDescent="0.25">
      <c r="E11" s="26" t="s">
        <v>15</v>
      </c>
    </row>
    <row r="12" spans="1:13" ht="15" x14ac:dyDescent="0.25">
      <c r="E12" s="26" t="s">
        <v>16</v>
      </c>
    </row>
    <row r="13" spans="1:13" ht="15" x14ac:dyDescent="0.25">
      <c r="E13" s="26" t="s">
        <v>16</v>
      </c>
    </row>
    <row r="14" spans="1:13" ht="15" x14ac:dyDescent="0.25">
      <c r="E14" s="26" t="s">
        <v>17</v>
      </c>
    </row>
    <row r="15" spans="1:13" ht="15" x14ac:dyDescent="0.25">
      <c r="E15" s="26"/>
    </row>
    <row r="17" spans="1:5" ht="17.399999999999999" x14ac:dyDescent="0.3">
      <c r="A17" s="28" t="s">
        <v>18</v>
      </c>
      <c r="B17" s="28"/>
    </row>
    <row r="18" spans="1:5" ht="15.6" x14ac:dyDescent="0.3">
      <c r="A18" s="48" t="s">
        <v>106</v>
      </c>
      <c r="B18" s="48"/>
    </row>
    <row r="19" spans="1:5" ht="14.4" x14ac:dyDescent="0.3">
      <c r="A19" s="50"/>
      <c r="B19" s="51" t="s">
        <v>95</v>
      </c>
    </row>
    <row r="20" spans="1:5" ht="13.8" x14ac:dyDescent="0.25">
      <c r="A20" s="52" t="s">
        <v>96</v>
      </c>
      <c r="B20" s="52" t="s">
        <v>97</v>
      </c>
      <c r="C20" s="52" t="s">
        <v>98</v>
      </c>
      <c r="D20" s="52" t="s">
        <v>142</v>
      </c>
      <c r="E20" s="52" t="s">
        <v>100</v>
      </c>
    </row>
    <row r="21" spans="1:5" x14ac:dyDescent="0.25">
      <c r="A21" s="49" t="s">
        <v>134</v>
      </c>
      <c r="B21" s="4" t="s">
        <v>95</v>
      </c>
      <c r="C21" s="4" t="s">
        <v>113</v>
      </c>
      <c r="D21" s="4" t="s">
        <v>55</v>
      </c>
      <c r="E21" s="27" t="s">
        <v>143</v>
      </c>
    </row>
    <row r="23" spans="1:5" ht="14.4" x14ac:dyDescent="0.3">
      <c r="A23" s="50"/>
      <c r="B23" s="51" t="s">
        <v>116</v>
      </c>
    </row>
    <row r="24" spans="1:5" ht="13.8" x14ac:dyDescent="0.25">
      <c r="A24" s="52" t="s">
        <v>96</v>
      </c>
      <c r="B24" s="52" t="s">
        <v>97</v>
      </c>
      <c r="C24" s="52" t="s">
        <v>98</v>
      </c>
      <c r="D24" s="52" t="s">
        <v>142</v>
      </c>
      <c r="E24" s="52" t="s">
        <v>100</v>
      </c>
    </row>
    <row r="25" spans="1:5" x14ac:dyDescent="0.25">
      <c r="A25" s="49" t="s">
        <v>134</v>
      </c>
      <c r="B25" s="4" t="s">
        <v>144</v>
      </c>
      <c r="C25" s="4" t="s">
        <v>113</v>
      </c>
      <c r="D25" s="4" t="s">
        <v>55</v>
      </c>
      <c r="E25" s="27" t="s">
        <v>145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6.5546875" style="4" bestFit="1" customWidth="1"/>
    <col min="5" max="5" width="21.77734375" style="4" bestFit="1" customWidth="1"/>
    <col min="6" max="6" width="16.109375" style="4" bestFit="1" customWidth="1"/>
    <col min="7" max="9" width="2.109375" style="3" customWidth="1"/>
    <col min="10" max="10" width="4.5546875" style="3" customWidth="1"/>
    <col min="11" max="13" width="2.109375" style="3" customWidth="1"/>
    <col min="14" max="14" width="4.5546875" style="3" customWidth="1"/>
    <col min="15" max="17" width="2.109375" style="3" customWidth="1"/>
    <col min="18" max="18" width="4.5546875" style="3" customWidth="1"/>
    <col min="19" max="19" width="7.6640625" style="27" bestFit="1" customWidth="1"/>
    <col min="20" max="20" width="5.88671875" style="2" bestFit="1" customWidth="1"/>
    <col min="21" max="21" width="8.33203125" style="4" bestFit="1" customWidth="1"/>
    <col min="22" max="16384" width="9.109375" style="3"/>
  </cols>
  <sheetData>
    <row r="1" spans="1:21" s="2" customFormat="1" ht="28.95" customHeight="1" x14ac:dyDescent="0.25">
      <c r="A1" s="25" t="s">
        <v>132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</row>
    <row r="2" spans="1:21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1" s="1" customFormat="1" ht="12.75" customHeight="1" x14ac:dyDescent="0.25">
      <c r="A3" s="19" t="s">
        <v>0</v>
      </c>
      <c r="B3" s="21" t="s">
        <v>7</v>
      </c>
      <c r="C3" s="21" t="s">
        <v>11</v>
      </c>
      <c r="D3" s="18"/>
      <c r="E3" s="18" t="s">
        <v>4</v>
      </c>
      <c r="F3" s="18" t="s">
        <v>8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 t="s">
        <v>1</v>
      </c>
      <c r="T3" s="18" t="s">
        <v>3</v>
      </c>
      <c r="U3" s="23" t="s">
        <v>2</v>
      </c>
    </row>
    <row r="4" spans="1:21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22"/>
      <c r="T4" s="22"/>
      <c r="U4" s="24"/>
    </row>
    <row r="5" spans="1:21" x14ac:dyDescent="0.25">
      <c r="G5" s="6"/>
    </row>
    <row r="6" spans="1:21" ht="15" x14ac:dyDescent="0.25">
      <c r="E6" s="26" t="s">
        <v>13</v>
      </c>
    </row>
    <row r="7" spans="1:21" ht="15" x14ac:dyDescent="0.25">
      <c r="E7" s="26" t="s">
        <v>14</v>
      </c>
    </row>
    <row r="8" spans="1:21" ht="15" x14ac:dyDescent="0.25">
      <c r="E8" s="26" t="s">
        <v>15</v>
      </c>
    </row>
    <row r="9" spans="1:21" ht="15" x14ac:dyDescent="0.25">
      <c r="E9" s="26" t="s">
        <v>16</v>
      </c>
    </row>
    <row r="10" spans="1:21" ht="15" x14ac:dyDescent="0.25">
      <c r="E10" s="26" t="s">
        <v>16</v>
      </c>
    </row>
    <row r="11" spans="1:21" ht="15" x14ac:dyDescent="0.25">
      <c r="E11" s="26" t="s">
        <v>17</v>
      </c>
    </row>
    <row r="12" spans="1:21" ht="15" x14ac:dyDescent="0.25">
      <c r="E12" s="26"/>
    </row>
    <row r="14" spans="1:21" ht="17.399999999999999" x14ac:dyDescent="0.3">
      <c r="A14" s="28" t="s">
        <v>18</v>
      </c>
      <c r="B14" s="28"/>
    </row>
  </sheetData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6.5546875" style="4" bestFit="1" customWidth="1"/>
    <col min="5" max="5" width="21.77734375" style="4" bestFit="1" customWidth="1"/>
    <col min="6" max="6" width="16.109375" style="4" bestFit="1" customWidth="1"/>
    <col min="7" max="9" width="2.109375" style="3" customWidth="1"/>
    <col min="10" max="10" width="4.5546875" style="3" customWidth="1"/>
    <col min="11" max="13" width="2.109375" style="3" customWidth="1"/>
    <col min="14" max="14" width="4.5546875" style="3" customWidth="1"/>
    <col min="15" max="17" width="2.109375" style="3" customWidth="1"/>
    <col min="18" max="18" width="4.5546875" style="3" customWidth="1"/>
    <col min="19" max="19" width="7.6640625" style="27" bestFit="1" customWidth="1"/>
    <col min="20" max="20" width="5.88671875" style="2" bestFit="1" customWidth="1"/>
    <col min="21" max="21" width="8.33203125" style="4" bestFit="1" customWidth="1"/>
    <col min="22" max="16384" width="9.109375" style="3"/>
  </cols>
  <sheetData>
    <row r="1" spans="1:21" s="2" customFormat="1" ht="28.95" customHeight="1" x14ac:dyDescent="0.25">
      <c r="A1" s="25" t="s">
        <v>131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</row>
    <row r="2" spans="1:21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1" s="1" customFormat="1" ht="12.75" customHeight="1" x14ac:dyDescent="0.25">
      <c r="A3" s="19" t="s">
        <v>0</v>
      </c>
      <c r="B3" s="21" t="s">
        <v>7</v>
      </c>
      <c r="C3" s="21" t="s">
        <v>11</v>
      </c>
      <c r="D3" s="18"/>
      <c r="E3" s="18" t="s">
        <v>4</v>
      </c>
      <c r="F3" s="18" t="s">
        <v>8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 t="s">
        <v>1</v>
      </c>
      <c r="T3" s="18" t="s">
        <v>3</v>
      </c>
      <c r="U3" s="23" t="s">
        <v>2</v>
      </c>
    </row>
    <row r="4" spans="1:21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22"/>
      <c r="T4" s="22"/>
      <c r="U4" s="24"/>
    </row>
    <row r="5" spans="1:21" x14ac:dyDescent="0.25">
      <c r="G5" s="6"/>
    </row>
    <row r="6" spans="1:21" ht="15" x14ac:dyDescent="0.25">
      <c r="E6" s="26" t="s">
        <v>13</v>
      </c>
    </row>
    <row r="7" spans="1:21" ht="15" x14ac:dyDescent="0.25">
      <c r="E7" s="26" t="s">
        <v>14</v>
      </c>
    </row>
    <row r="8" spans="1:21" ht="15" x14ac:dyDescent="0.25">
      <c r="E8" s="26" t="s">
        <v>15</v>
      </c>
    </row>
    <row r="9" spans="1:21" ht="15" x14ac:dyDescent="0.25">
      <c r="E9" s="26" t="s">
        <v>16</v>
      </c>
    </row>
    <row r="10" spans="1:21" ht="15" x14ac:dyDescent="0.25">
      <c r="E10" s="26" t="s">
        <v>16</v>
      </c>
    </row>
    <row r="11" spans="1:21" ht="15" x14ac:dyDescent="0.25">
      <c r="E11" s="26" t="s">
        <v>17</v>
      </c>
    </row>
    <row r="12" spans="1:21" ht="15" x14ac:dyDescent="0.25">
      <c r="E12" s="26"/>
    </row>
    <row r="14" spans="1:21" ht="17.399999999999999" x14ac:dyDescent="0.3">
      <c r="A14" s="28" t="s">
        <v>18</v>
      </c>
      <c r="B14" s="28"/>
    </row>
  </sheetData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8.21875" style="4" bestFit="1" customWidth="1"/>
    <col min="5" max="5" width="21.77734375" style="4" bestFit="1" customWidth="1"/>
    <col min="6" max="6" width="24" style="4" bestFit="1" customWidth="1"/>
    <col min="7" max="9" width="5.5546875" style="3" customWidth="1"/>
    <col min="10" max="10" width="4.5546875" style="3" customWidth="1"/>
    <col min="11" max="13" width="5.5546875" style="3" customWidth="1"/>
    <col min="14" max="14" width="4.5546875" style="3" customWidth="1"/>
    <col min="15" max="17" width="5.5546875" style="3" customWidth="1"/>
    <col min="18" max="18" width="4.5546875" style="3" customWidth="1"/>
    <col min="19" max="19" width="7.6640625" style="27" bestFit="1" customWidth="1"/>
    <col min="20" max="20" width="8.5546875" style="2" bestFit="1" customWidth="1"/>
    <col min="21" max="21" width="8.33203125" style="4" bestFit="1" customWidth="1"/>
    <col min="22" max="16384" width="9.109375" style="3"/>
  </cols>
  <sheetData>
    <row r="1" spans="1:21" s="2" customFormat="1" ht="28.95" customHeight="1" x14ac:dyDescent="0.25">
      <c r="A1" s="25" t="s">
        <v>120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</row>
    <row r="2" spans="1:21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1" s="1" customFormat="1" ht="12.75" customHeight="1" x14ac:dyDescent="0.25">
      <c r="A3" s="19" t="s">
        <v>0</v>
      </c>
      <c r="B3" s="21" t="s">
        <v>7</v>
      </c>
      <c r="C3" s="21" t="s">
        <v>11</v>
      </c>
      <c r="D3" s="18" t="s">
        <v>21</v>
      </c>
      <c r="E3" s="18" t="s">
        <v>4</v>
      </c>
      <c r="F3" s="18" t="s">
        <v>8</v>
      </c>
      <c r="G3" s="18" t="s">
        <v>22</v>
      </c>
      <c r="H3" s="18"/>
      <c r="I3" s="18"/>
      <c r="J3" s="18"/>
      <c r="K3" s="18" t="s">
        <v>23</v>
      </c>
      <c r="L3" s="18"/>
      <c r="M3" s="18"/>
      <c r="N3" s="18"/>
      <c r="O3" s="18" t="s">
        <v>24</v>
      </c>
      <c r="P3" s="18"/>
      <c r="Q3" s="18"/>
      <c r="R3" s="18"/>
      <c r="S3" s="18" t="s">
        <v>1</v>
      </c>
      <c r="T3" s="18" t="s">
        <v>3</v>
      </c>
      <c r="U3" s="23" t="s">
        <v>2</v>
      </c>
    </row>
    <row r="4" spans="1:21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22"/>
      <c r="T4" s="22"/>
      <c r="U4" s="24"/>
    </row>
    <row r="5" spans="1:21" ht="15.6" x14ac:dyDescent="0.3">
      <c r="A5" s="29" t="s">
        <v>121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5">
      <c r="A6" s="30" t="s">
        <v>123</v>
      </c>
      <c r="B6" s="30" t="s">
        <v>124</v>
      </c>
      <c r="C6" s="30" t="s">
        <v>125</v>
      </c>
      <c r="D6" s="30" t="str">
        <f>"0,6137"</f>
        <v>0,6137</v>
      </c>
      <c r="E6" s="30" t="s">
        <v>53</v>
      </c>
      <c r="F6" s="30" t="s">
        <v>126</v>
      </c>
      <c r="G6" s="31" t="s">
        <v>127</v>
      </c>
      <c r="H6" s="31" t="s">
        <v>71</v>
      </c>
      <c r="I6" s="31" t="s">
        <v>82</v>
      </c>
      <c r="J6" s="32"/>
      <c r="K6" s="31" t="s">
        <v>128</v>
      </c>
      <c r="L6" s="31" t="s">
        <v>59</v>
      </c>
      <c r="M6" s="31" t="s">
        <v>91</v>
      </c>
      <c r="N6" s="32"/>
      <c r="O6" s="31" t="s">
        <v>82</v>
      </c>
      <c r="P6" s="31" t="s">
        <v>84</v>
      </c>
      <c r="Q6" s="31" t="s">
        <v>61</v>
      </c>
      <c r="R6" s="32"/>
      <c r="S6" s="41" t="str">
        <f>"630,0"</f>
        <v>630,0</v>
      </c>
      <c r="T6" s="42" t="str">
        <f>"386,6625"</f>
        <v>386,6625</v>
      </c>
      <c r="U6" s="30" t="s">
        <v>40</v>
      </c>
    </row>
    <row r="8" spans="1:21" ht="15" x14ac:dyDescent="0.25">
      <c r="E8" s="26" t="s">
        <v>13</v>
      </c>
    </row>
    <row r="9" spans="1:21" ht="15" x14ac:dyDescent="0.25">
      <c r="E9" s="26" t="s">
        <v>14</v>
      </c>
    </row>
    <row r="10" spans="1:21" ht="15" x14ac:dyDescent="0.25">
      <c r="E10" s="26" t="s">
        <v>15</v>
      </c>
    </row>
    <row r="11" spans="1:21" ht="15" x14ac:dyDescent="0.25">
      <c r="E11" s="26" t="s">
        <v>16</v>
      </c>
    </row>
    <row r="12" spans="1:21" ht="15" x14ac:dyDescent="0.25">
      <c r="E12" s="26" t="s">
        <v>16</v>
      </c>
    </row>
    <row r="13" spans="1:21" ht="15" x14ac:dyDescent="0.25">
      <c r="E13" s="26" t="s">
        <v>17</v>
      </c>
    </row>
    <row r="14" spans="1:21" ht="15" x14ac:dyDescent="0.25">
      <c r="E14" s="26"/>
    </row>
    <row r="16" spans="1:21" ht="17.399999999999999" x14ac:dyDescent="0.3">
      <c r="A16" s="28" t="s">
        <v>18</v>
      </c>
      <c r="B16" s="28"/>
    </row>
    <row r="17" spans="1:5" ht="15.6" x14ac:dyDescent="0.3">
      <c r="A17" s="48" t="s">
        <v>106</v>
      </c>
      <c r="B17" s="48"/>
    </row>
    <row r="18" spans="1:5" ht="14.4" x14ac:dyDescent="0.3">
      <c r="A18" s="50"/>
      <c r="B18" s="51" t="s">
        <v>95</v>
      </c>
    </row>
    <row r="19" spans="1:5" ht="13.8" x14ac:dyDescent="0.25">
      <c r="A19" s="52" t="s">
        <v>96</v>
      </c>
      <c r="B19" s="52" t="s">
        <v>97</v>
      </c>
      <c r="C19" s="52" t="s">
        <v>98</v>
      </c>
      <c r="D19" s="52" t="s">
        <v>99</v>
      </c>
      <c r="E19" s="52" t="s">
        <v>100</v>
      </c>
    </row>
    <row r="20" spans="1:5" x14ac:dyDescent="0.25">
      <c r="A20" s="49" t="s">
        <v>122</v>
      </c>
      <c r="B20" s="4" t="s">
        <v>95</v>
      </c>
      <c r="C20" s="4" t="s">
        <v>129</v>
      </c>
      <c r="D20" s="4" t="s">
        <v>111</v>
      </c>
      <c r="E20" s="27" t="s">
        <v>130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9.88671875" style="4" bestFit="1" customWidth="1"/>
    <col min="3" max="3" width="14.88671875" style="4" bestFit="1" customWidth="1"/>
    <col min="4" max="4" width="8.21875" style="4" bestFit="1" customWidth="1"/>
    <col min="5" max="5" width="21.77734375" style="4" bestFit="1" customWidth="1"/>
    <col min="6" max="6" width="30.21875" style="4" bestFit="1" customWidth="1"/>
    <col min="7" max="9" width="5.5546875" style="3" customWidth="1"/>
    <col min="10" max="10" width="4.5546875" style="3" customWidth="1"/>
    <col min="11" max="13" width="5.5546875" style="3" customWidth="1"/>
    <col min="14" max="14" width="4.5546875" style="3" customWidth="1"/>
    <col min="15" max="17" width="5.5546875" style="3" customWidth="1"/>
    <col min="18" max="18" width="4.5546875" style="3" customWidth="1"/>
    <col min="19" max="19" width="7.6640625" style="27" bestFit="1" customWidth="1"/>
    <col min="20" max="20" width="8.5546875" style="2" bestFit="1" customWidth="1"/>
    <col min="21" max="21" width="8.33203125" style="4" bestFit="1" customWidth="1"/>
    <col min="22" max="16384" width="9.109375" style="3"/>
  </cols>
  <sheetData>
    <row r="1" spans="1:21" s="2" customFormat="1" ht="28.95" customHeight="1" x14ac:dyDescent="0.25">
      <c r="A1" s="25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</row>
    <row r="2" spans="1:21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1" s="1" customFormat="1" ht="12.75" customHeight="1" x14ac:dyDescent="0.25">
      <c r="A3" s="19" t="s">
        <v>0</v>
      </c>
      <c r="B3" s="21" t="s">
        <v>7</v>
      </c>
      <c r="C3" s="21" t="s">
        <v>11</v>
      </c>
      <c r="D3" s="18" t="s">
        <v>21</v>
      </c>
      <c r="E3" s="18" t="s">
        <v>4</v>
      </c>
      <c r="F3" s="18" t="s">
        <v>8</v>
      </c>
      <c r="G3" s="18" t="s">
        <v>22</v>
      </c>
      <c r="H3" s="18"/>
      <c r="I3" s="18"/>
      <c r="J3" s="18"/>
      <c r="K3" s="18" t="s">
        <v>23</v>
      </c>
      <c r="L3" s="18"/>
      <c r="M3" s="18"/>
      <c r="N3" s="18"/>
      <c r="O3" s="18" t="s">
        <v>24</v>
      </c>
      <c r="P3" s="18"/>
      <c r="Q3" s="18"/>
      <c r="R3" s="18"/>
      <c r="S3" s="18" t="s">
        <v>1</v>
      </c>
      <c r="T3" s="18" t="s">
        <v>3</v>
      </c>
      <c r="U3" s="23" t="s">
        <v>2</v>
      </c>
    </row>
    <row r="4" spans="1:21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22"/>
      <c r="T4" s="22"/>
      <c r="U4" s="24"/>
    </row>
    <row r="5" spans="1:21" ht="15.6" x14ac:dyDescent="0.3">
      <c r="A5" s="29" t="s">
        <v>25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5">
      <c r="A6" s="30" t="s">
        <v>27</v>
      </c>
      <c r="B6" s="30" t="s">
        <v>28</v>
      </c>
      <c r="C6" s="30" t="s">
        <v>29</v>
      </c>
      <c r="D6" s="30" t="str">
        <f>"1,0037"</f>
        <v>1,0037</v>
      </c>
      <c r="E6" s="30" t="s">
        <v>30</v>
      </c>
      <c r="F6" s="30" t="s">
        <v>31</v>
      </c>
      <c r="G6" s="31" t="s">
        <v>32</v>
      </c>
      <c r="H6" s="31" t="s">
        <v>33</v>
      </c>
      <c r="I6" s="31" t="s">
        <v>34</v>
      </c>
      <c r="J6" s="32"/>
      <c r="K6" s="31" t="s">
        <v>35</v>
      </c>
      <c r="L6" s="31" t="s">
        <v>36</v>
      </c>
      <c r="M6" s="32" t="s">
        <v>32</v>
      </c>
      <c r="N6" s="32"/>
      <c r="O6" s="31" t="s">
        <v>37</v>
      </c>
      <c r="P6" s="31" t="s">
        <v>38</v>
      </c>
      <c r="Q6" s="31" t="s">
        <v>39</v>
      </c>
      <c r="R6" s="32"/>
      <c r="S6" s="41" t="str">
        <f>"250,0"</f>
        <v>250,0</v>
      </c>
      <c r="T6" s="42" t="str">
        <f>"250,9250"</f>
        <v>250,9250</v>
      </c>
      <c r="U6" s="30" t="s">
        <v>40</v>
      </c>
    </row>
    <row r="8" spans="1:21" ht="15.6" x14ac:dyDescent="0.3">
      <c r="A8" s="33" t="s">
        <v>41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21" x14ac:dyDescent="0.25">
      <c r="A9" s="30" t="s">
        <v>43</v>
      </c>
      <c r="B9" s="30" t="s">
        <v>44</v>
      </c>
      <c r="C9" s="30" t="s">
        <v>45</v>
      </c>
      <c r="D9" s="30" t="str">
        <f>"0,9211"</f>
        <v>0,9211</v>
      </c>
      <c r="E9" s="30" t="s">
        <v>30</v>
      </c>
      <c r="F9" s="30" t="s">
        <v>31</v>
      </c>
      <c r="G9" s="31" t="s">
        <v>32</v>
      </c>
      <c r="H9" s="31" t="s">
        <v>33</v>
      </c>
      <c r="I9" s="31" t="s">
        <v>46</v>
      </c>
      <c r="J9" s="32"/>
      <c r="K9" s="31" t="s">
        <v>35</v>
      </c>
      <c r="L9" s="32" t="s">
        <v>36</v>
      </c>
      <c r="M9" s="31" t="s">
        <v>36</v>
      </c>
      <c r="N9" s="32"/>
      <c r="O9" s="31" t="s">
        <v>37</v>
      </c>
      <c r="P9" s="31" t="s">
        <v>38</v>
      </c>
      <c r="Q9" s="31" t="s">
        <v>47</v>
      </c>
      <c r="R9" s="32"/>
      <c r="S9" s="41" t="str">
        <f>"252,5"</f>
        <v>252,5</v>
      </c>
      <c r="T9" s="42" t="str">
        <f>"232,5778"</f>
        <v>232,5778</v>
      </c>
      <c r="U9" s="30" t="s">
        <v>40</v>
      </c>
    </row>
    <row r="11" spans="1:21" ht="15.6" x14ac:dyDescent="0.3">
      <c r="A11" s="33" t="s">
        <v>48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21" x14ac:dyDescent="0.25">
      <c r="A12" s="30" t="s">
        <v>50</v>
      </c>
      <c r="B12" s="30" t="s">
        <v>51</v>
      </c>
      <c r="C12" s="30" t="s">
        <v>52</v>
      </c>
      <c r="D12" s="30" t="str">
        <f>"0,6456"</f>
        <v>0,6456</v>
      </c>
      <c r="E12" s="30" t="s">
        <v>53</v>
      </c>
      <c r="F12" s="30" t="s">
        <v>54</v>
      </c>
      <c r="G12" s="31" t="s">
        <v>55</v>
      </c>
      <c r="H12" s="31" t="s">
        <v>56</v>
      </c>
      <c r="I12" s="32" t="s">
        <v>57</v>
      </c>
      <c r="J12" s="32"/>
      <c r="K12" s="31" t="s">
        <v>58</v>
      </c>
      <c r="L12" s="32" t="s">
        <v>59</v>
      </c>
      <c r="M12" s="32" t="s">
        <v>60</v>
      </c>
      <c r="N12" s="32"/>
      <c r="O12" s="31" t="s">
        <v>61</v>
      </c>
      <c r="P12" s="32" t="s">
        <v>62</v>
      </c>
      <c r="Q12" s="32"/>
      <c r="R12" s="32"/>
      <c r="S12" s="41" t="str">
        <f>"590,0"</f>
        <v>590,0</v>
      </c>
      <c r="T12" s="42" t="str">
        <f>"380,9040"</f>
        <v>380,9040</v>
      </c>
      <c r="U12" s="30" t="s">
        <v>40</v>
      </c>
    </row>
    <row r="14" spans="1:21" ht="15.6" x14ac:dyDescent="0.3">
      <c r="A14" s="33" t="s">
        <v>63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21" x14ac:dyDescent="0.25">
      <c r="A15" s="34" t="s">
        <v>65</v>
      </c>
      <c r="B15" s="34" t="s">
        <v>66</v>
      </c>
      <c r="C15" s="34" t="s">
        <v>67</v>
      </c>
      <c r="D15" s="34" t="str">
        <f>"0,5885"</f>
        <v>0,5885</v>
      </c>
      <c r="E15" s="34" t="s">
        <v>68</v>
      </c>
      <c r="F15" s="34" t="s">
        <v>69</v>
      </c>
      <c r="G15" s="35" t="s">
        <v>70</v>
      </c>
      <c r="H15" s="35" t="s">
        <v>71</v>
      </c>
      <c r="I15" s="35" t="s">
        <v>72</v>
      </c>
      <c r="J15" s="36"/>
      <c r="K15" s="35" t="s">
        <v>73</v>
      </c>
      <c r="L15" s="35" t="s">
        <v>74</v>
      </c>
      <c r="M15" s="35" t="s">
        <v>75</v>
      </c>
      <c r="N15" s="36"/>
      <c r="O15" s="35" t="s">
        <v>71</v>
      </c>
      <c r="P15" s="35" t="s">
        <v>76</v>
      </c>
      <c r="Q15" s="36" t="s">
        <v>77</v>
      </c>
      <c r="R15" s="36"/>
      <c r="S15" s="44" t="str">
        <f>"630,0"</f>
        <v>630,0</v>
      </c>
      <c r="T15" s="45" t="str">
        <f>"370,7865"</f>
        <v>370,7865</v>
      </c>
      <c r="U15" s="34" t="s">
        <v>40</v>
      </c>
    </row>
    <row r="16" spans="1:21" x14ac:dyDescent="0.25">
      <c r="A16" s="37" t="s">
        <v>79</v>
      </c>
      <c r="B16" s="37" t="s">
        <v>80</v>
      </c>
      <c r="C16" s="37" t="s">
        <v>81</v>
      </c>
      <c r="D16" s="37" t="str">
        <f>"0,5878"</f>
        <v>0,5878</v>
      </c>
      <c r="E16" s="37" t="s">
        <v>30</v>
      </c>
      <c r="F16" s="37" t="s">
        <v>31</v>
      </c>
      <c r="G16" s="38" t="s">
        <v>70</v>
      </c>
      <c r="H16" s="38" t="s">
        <v>82</v>
      </c>
      <c r="I16" s="39"/>
      <c r="J16" s="39"/>
      <c r="K16" s="38" t="s">
        <v>83</v>
      </c>
      <c r="L16" s="38" t="s">
        <v>60</v>
      </c>
      <c r="M16" s="39"/>
      <c r="N16" s="39"/>
      <c r="O16" s="38" t="s">
        <v>84</v>
      </c>
      <c r="P16" s="38" t="s">
        <v>61</v>
      </c>
      <c r="Q16" s="38" t="s">
        <v>62</v>
      </c>
      <c r="R16" s="39"/>
      <c r="S16" s="46" t="str">
        <f>"635,0"</f>
        <v>635,0</v>
      </c>
      <c r="T16" s="47" t="str">
        <f>"384,7911"</f>
        <v>384,7911</v>
      </c>
      <c r="U16" s="37" t="s">
        <v>40</v>
      </c>
    </row>
    <row r="18" spans="1:21" ht="15.6" x14ac:dyDescent="0.3">
      <c r="A18" s="33" t="s">
        <v>85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21" x14ac:dyDescent="0.25">
      <c r="A19" s="30" t="s">
        <v>87</v>
      </c>
      <c r="B19" s="30" t="s">
        <v>88</v>
      </c>
      <c r="C19" s="30" t="s">
        <v>89</v>
      </c>
      <c r="D19" s="30" t="str">
        <f>"0,5666"</f>
        <v>0,5666</v>
      </c>
      <c r="E19" s="30" t="s">
        <v>68</v>
      </c>
      <c r="F19" s="30" t="s">
        <v>69</v>
      </c>
      <c r="G19" s="31" t="s">
        <v>90</v>
      </c>
      <c r="H19" s="31" t="s">
        <v>57</v>
      </c>
      <c r="I19" s="31" t="s">
        <v>71</v>
      </c>
      <c r="J19" s="32"/>
      <c r="K19" s="31" t="s">
        <v>91</v>
      </c>
      <c r="L19" s="31" t="s">
        <v>74</v>
      </c>
      <c r="M19" s="32" t="s">
        <v>75</v>
      </c>
      <c r="N19" s="32"/>
      <c r="O19" s="31" t="s">
        <v>84</v>
      </c>
      <c r="P19" s="31" t="s">
        <v>92</v>
      </c>
      <c r="Q19" s="32" t="s">
        <v>93</v>
      </c>
      <c r="R19" s="32"/>
      <c r="S19" s="41" t="str">
        <f>"650,0"</f>
        <v>650,0</v>
      </c>
      <c r="T19" s="42" t="str">
        <f>"368,3225"</f>
        <v>368,3225</v>
      </c>
      <c r="U19" s="30" t="s">
        <v>40</v>
      </c>
    </row>
    <row r="21" spans="1:21" ht="15" x14ac:dyDescent="0.25">
      <c r="E21" s="26" t="s">
        <v>13</v>
      </c>
    </row>
    <row r="22" spans="1:21" ht="15" x14ac:dyDescent="0.25">
      <c r="E22" s="26" t="s">
        <v>14</v>
      </c>
    </row>
    <row r="23" spans="1:21" ht="15" x14ac:dyDescent="0.25">
      <c r="E23" s="26" t="s">
        <v>15</v>
      </c>
    </row>
    <row r="24" spans="1:21" ht="15" x14ac:dyDescent="0.25">
      <c r="E24" s="26" t="s">
        <v>16</v>
      </c>
    </row>
    <row r="25" spans="1:21" ht="15" x14ac:dyDescent="0.25">
      <c r="E25" s="26" t="s">
        <v>16</v>
      </c>
    </row>
    <row r="26" spans="1:21" ht="15" x14ac:dyDescent="0.25">
      <c r="E26" s="26" t="s">
        <v>17</v>
      </c>
    </row>
    <row r="27" spans="1:21" ht="15" x14ac:dyDescent="0.25">
      <c r="E27" s="26"/>
    </row>
    <row r="29" spans="1:21" ht="17.399999999999999" x14ac:dyDescent="0.3">
      <c r="A29" s="28" t="s">
        <v>18</v>
      </c>
      <c r="B29" s="28"/>
    </row>
    <row r="30" spans="1:21" ht="15.6" x14ac:dyDescent="0.3">
      <c r="A30" s="48" t="s">
        <v>94</v>
      </c>
      <c r="B30" s="48"/>
    </row>
    <row r="31" spans="1:21" ht="14.4" x14ac:dyDescent="0.3">
      <c r="A31" s="50"/>
      <c r="B31" s="51" t="s">
        <v>95</v>
      </c>
    </row>
    <row r="32" spans="1:21" ht="13.8" x14ac:dyDescent="0.25">
      <c r="A32" s="52" t="s">
        <v>96</v>
      </c>
      <c r="B32" s="52" t="s">
        <v>97</v>
      </c>
      <c r="C32" s="52" t="s">
        <v>98</v>
      </c>
      <c r="D32" s="52" t="s">
        <v>99</v>
      </c>
      <c r="E32" s="52" t="s">
        <v>100</v>
      </c>
    </row>
    <row r="33" spans="1:5" x14ac:dyDescent="0.25">
      <c r="A33" s="49" t="s">
        <v>26</v>
      </c>
      <c r="B33" s="4" t="s">
        <v>95</v>
      </c>
      <c r="C33" s="4" t="s">
        <v>101</v>
      </c>
      <c r="D33" s="4" t="s">
        <v>61</v>
      </c>
      <c r="E33" s="27" t="s">
        <v>102</v>
      </c>
    </row>
    <row r="34" spans="1:5" x14ac:dyDescent="0.25">
      <c r="A34" s="49" t="s">
        <v>42</v>
      </c>
      <c r="B34" s="4" t="s">
        <v>95</v>
      </c>
      <c r="C34" s="4" t="s">
        <v>103</v>
      </c>
      <c r="D34" s="4" t="s">
        <v>104</v>
      </c>
      <c r="E34" s="27" t="s">
        <v>105</v>
      </c>
    </row>
    <row r="37" spans="1:5" ht="15.6" x14ac:dyDescent="0.3">
      <c r="A37" s="48" t="s">
        <v>106</v>
      </c>
      <c r="B37" s="48"/>
    </row>
    <row r="38" spans="1:5" ht="14.4" x14ac:dyDescent="0.3">
      <c r="A38" s="50"/>
      <c r="B38" s="51" t="s">
        <v>95</v>
      </c>
    </row>
    <row r="39" spans="1:5" ht="13.8" x14ac:dyDescent="0.25">
      <c r="A39" s="52" t="s">
        <v>96</v>
      </c>
      <c r="B39" s="52" t="s">
        <v>97</v>
      </c>
      <c r="C39" s="52" t="s">
        <v>98</v>
      </c>
      <c r="D39" s="52" t="s">
        <v>99</v>
      </c>
      <c r="E39" s="52" t="s">
        <v>100</v>
      </c>
    </row>
    <row r="40" spans="1:5" x14ac:dyDescent="0.25">
      <c r="A40" s="49" t="s">
        <v>49</v>
      </c>
      <c r="B40" s="4" t="s">
        <v>95</v>
      </c>
      <c r="C40" s="4" t="s">
        <v>107</v>
      </c>
      <c r="D40" s="4" t="s">
        <v>108</v>
      </c>
      <c r="E40" s="27" t="s">
        <v>109</v>
      </c>
    </row>
    <row r="41" spans="1:5" x14ac:dyDescent="0.25">
      <c r="A41" s="49" t="s">
        <v>64</v>
      </c>
      <c r="B41" s="4" t="s">
        <v>95</v>
      </c>
      <c r="C41" s="4" t="s">
        <v>110</v>
      </c>
      <c r="D41" s="4" t="s">
        <v>111</v>
      </c>
      <c r="E41" s="27" t="s">
        <v>112</v>
      </c>
    </row>
    <row r="42" spans="1:5" x14ac:dyDescent="0.25">
      <c r="A42" s="49" t="s">
        <v>86</v>
      </c>
      <c r="B42" s="4" t="s">
        <v>95</v>
      </c>
      <c r="C42" s="4" t="s">
        <v>113</v>
      </c>
      <c r="D42" s="4" t="s">
        <v>114</v>
      </c>
      <c r="E42" s="27" t="s">
        <v>115</v>
      </c>
    </row>
    <row r="44" spans="1:5" ht="14.4" x14ac:dyDescent="0.3">
      <c r="A44" s="50"/>
      <c r="B44" s="51" t="s">
        <v>116</v>
      </c>
    </row>
    <row r="45" spans="1:5" ht="13.8" x14ac:dyDescent="0.25">
      <c r="A45" s="52" t="s">
        <v>96</v>
      </c>
      <c r="B45" s="52" t="s">
        <v>97</v>
      </c>
      <c r="C45" s="52" t="s">
        <v>98</v>
      </c>
      <c r="D45" s="52" t="s">
        <v>99</v>
      </c>
      <c r="E45" s="52" t="s">
        <v>100</v>
      </c>
    </row>
    <row r="46" spans="1:5" x14ac:dyDescent="0.25">
      <c r="A46" s="49" t="s">
        <v>78</v>
      </c>
      <c r="B46" s="4" t="s">
        <v>117</v>
      </c>
      <c r="C46" s="4" t="s">
        <v>110</v>
      </c>
      <c r="D46" s="4" t="s">
        <v>118</v>
      </c>
      <c r="E46" s="27" t="s">
        <v>119</v>
      </c>
    </row>
  </sheetData>
  <mergeCells count="18">
    <mergeCell ref="A8:R8"/>
    <mergeCell ref="A11:R11"/>
    <mergeCell ref="A14:R14"/>
    <mergeCell ref="A18:R18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6.5546875" style="4" bestFit="1" customWidth="1"/>
    <col min="5" max="5" width="21.77734375" style="4" bestFit="1" customWidth="1"/>
    <col min="6" max="6" width="16.109375" style="4" bestFit="1" customWidth="1"/>
    <col min="7" max="9" width="2.109375" style="3" customWidth="1"/>
    <col min="10" max="10" width="4.5546875" style="3" customWidth="1"/>
    <col min="11" max="11" width="7.6640625" style="27" bestFit="1" customWidth="1"/>
    <col min="12" max="12" width="5.88671875" style="2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5" t="s">
        <v>509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/>
      <c r="E3" s="18" t="s">
        <v>4</v>
      </c>
      <c r="F3" s="18" t="s">
        <v>8</v>
      </c>
      <c r="G3" s="18"/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5" spans="1:13" x14ac:dyDescent="0.25">
      <c r="G5" s="6"/>
    </row>
    <row r="6" spans="1:13" ht="15" x14ac:dyDescent="0.25">
      <c r="E6" s="26" t="s">
        <v>13</v>
      </c>
    </row>
    <row r="7" spans="1:13" ht="15" x14ac:dyDescent="0.25">
      <c r="E7" s="26" t="s">
        <v>14</v>
      </c>
    </row>
    <row r="8" spans="1:13" ht="15" x14ac:dyDescent="0.25">
      <c r="E8" s="26" t="s">
        <v>15</v>
      </c>
    </row>
    <row r="9" spans="1:13" ht="15" x14ac:dyDescent="0.25">
      <c r="E9" s="26" t="s">
        <v>16</v>
      </c>
    </row>
    <row r="10" spans="1:13" ht="15" x14ac:dyDescent="0.25">
      <c r="E10" s="26" t="s">
        <v>16</v>
      </c>
    </row>
    <row r="11" spans="1:13" ht="15" x14ac:dyDescent="0.25">
      <c r="E11" s="26" t="s">
        <v>17</v>
      </c>
    </row>
    <row r="12" spans="1:13" ht="15" x14ac:dyDescent="0.25">
      <c r="E12" s="26"/>
    </row>
    <row r="14" spans="1:13" ht="17.399999999999999" x14ac:dyDescent="0.3">
      <c r="A14" s="28" t="s">
        <v>18</v>
      </c>
      <c r="B14" s="28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6.5546875" style="4" bestFit="1" customWidth="1"/>
    <col min="5" max="5" width="21.77734375" style="4" bestFit="1" customWidth="1"/>
    <col min="6" max="6" width="16.109375" style="4" bestFit="1" customWidth="1"/>
    <col min="7" max="9" width="2.109375" style="3" customWidth="1"/>
    <col min="10" max="10" width="4.5546875" style="3" customWidth="1"/>
    <col min="11" max="13" width="2.109375" style="3" customWidth="1"/>
    <col min="14" max="14" width="4.5546875" style="3" customWidth="1"/>
    <col min="15" max="17" width="2.109375" style="3" customWidth="1"/>
    <col min="18" max="18" width="4.5546875" style="3" customWidth="1"/>
    <col min="19" max="19" width="7.6640625" style="27" bestFit="1" customWidth="1"/>
    <col min="20" max="20" width="5.88671875" style="2" bestFit="1" customWidth="1"/>
    <col min="21" max="21" width="8.33203125" style="4" bestFit="1" customWidth="1"/>
    <col min="22" max="16384" width="9.109375" style="3"/>
  </cols>
  <sheetData>
    <row r="1" spans="1:21" s="2" customFormat="1" ht="28.95" customHeight="1" x14ac:dyDescent="0.25">
      <c r="A1" s="25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</row>
    <row r="2" spans="1:21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1" s="1" customFormat="1" ht="12.75" customHeight="1" x14ac:dyDescent="0.25">
      <c r="A3" s="19" t="s">
        <v>0</v>
      </c>
      <c r="B3" s="21" t="s">
        <v>7</v>
      </c>
      <c r="C3" s="21" t="s">
        <v>11</v>
      </c>
      <c r="D3" s="18"/>
      <c r="E3" s="18" t="s">
        <v>4</v>
      </c>
      <c r="F3" s="18" t="s">
        <v>8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 t="s">
        <v>1</v>
      </c>
      <c r="T3" s="18" t="s">
        <v>3</v>
      </c>
      <c r="U3" s="23" t="s">
        <v>2</v>
      </c>
    </row>
    <row r="4" spans="1:21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22"/>
      <c r="T4" s="22"/>
      <c r="U4" s="24"/>
    </row>
    <row r="5" spans="1:21" x14ac:dyDescent="0.25">
      <c r="G5" s="6"/>
    </row>
    <row r="6" spans="1:21" ht="15" x14ac:dyDescent="0.25">
      <c r="E6" s="26" t="s">
        <v>13</v>
      </c>
    </row>
    <row r="7" spans="1:21" ht="15" x14ac:dyDescent="0.25">
      <c r="E7" s="26" t="s">
        <v>14</v>
      </c>
    </row>
    <row r="8" spans="1:21" ht="15" x14ac:dyDescent="0.25">
      <c r="E8" s="26" t="s">
        <v>15</v>
      </c>
    </row>
    <row r="9" spans="1:21" ht="15" x14ac:dyDescent="0.25">
      <c r="E9" s="26" t="s">
        <v>16</v>
      </c>
    </row>
    <row r="10" spans="1:21" ht="15" x14ac:dyDescent="0.25">
      <c r="E10" s="26" t="s">
        <v>16</v>
      </c>
    </row>
    <row r="11" spans="1:21" ht="15" x14ac:dyDescent="0.25">
      <c r="E11" s="26" t="s">
        <v>17</v>
      </c>
    </row>
    <row r="12" spans="1:21" ht="15" x14ac:dyDescent="0.25">
      <c r="E12" s="26"/>
    </row>
    <row r="14" spans="1:21" ht="17.399999999999999" x14ac:dyDescent="0.3">
      <c r="A14" s="28" t="s">
        <v>18</v>
      </c>
      <c r="B14" s="28"/>
    </row>
  </sheetData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14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6.5546875" style="4" bestFit="1" customWidth="1"/>
    <col min="5" max="5" width="21.77734375" style="4" bestFit="1" customWidth="1"/>
    <col min="6" max="6" width="16.109375" style="4" bestFit="1" customWidth="1"/>
    <col min="7" max="9" width="2.109375" style="3" customWidth="1"/>
    <col min="10" max="10" width="4.5546875" style="3" customWidth="1"/>
    <col min="11" max="13" width="2.109375" style="3" customWidth="1"/>
    <col min="14" max="14" width="4.5546875" style="3" customWidth="1"/>
    <col min="15" max="17" width="2.109375" style="3" customWidth="1"/>
    <col min="18" max="18" width="4.5546875" style="3" customWidth="1"/>
    <col min="19" max="19" width="7.6640625" style="27" bestFit="1" customWidth="1"/>
    <col min="20" max="20" width="5.88671875" style="2" bestFit="1" customWidth="1"/>
    <col min="21" max="21" width="8.33203125" style="4" bestFit="1" customWidth="1"/>
    <col min="22" max="16384" width="9.109375" style="3"/>
  </cols>
  <sheetData>
    <row r="1" spans="1:21" s="2" customFormat="1" ht="28.95" customHeight="1" x14ac:dyDescent="0.25">
      <c r="A1" s="25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</row>
    <row r="2" spans="1:21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1" s="1" customFormat="1" ht="12.75" customHeight="1" x14ac:dyDescent="0.25">
      <c r="A3" s="19" t="s">
        <v>0</v>
      </c>
      <c r="B3" s="21" t="s">
        <v>7</v>
      </c>
      <c r="C3" s="21" t="s">
        <v>11</v>
      </c>
      <c r="D3" s="18"/>
      <c r="E3" s="18" t="s">
        <v>4</v>
      </c>
      <c r="F3" s="18" t="s">
        <v>8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 t="s">
        <v>1</v>
      </c>
      <c r="T3" s="18" t="s">
        <v>3</v>
      </c>
      <c r="U3" s="23" t="s">
        <v>2</v>
      </c>
    </row>
    <row r="4" spans="1:21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22"/>
      <c r="T4" s="22"/>
      <c r="U4" s="24"/>
    </row>
    <row r="5" spans="1:21" x14ac:dyDescent="0.25">
      <c r="G5" s="6"/>
    </row>
    <row r="6" spans="1:21" ht="15" x14ac:dyDescent="0.25">
      <c r="E6" s="26" t="s">
        <v>13</v>
      </c>
    </row>
    <row r="7" spans="1:21" ht="15" x14ac:dyDescent="0.25">
      <c r="E7" s="26" t="s">
        <v>14</v>
      </c>
    </row>
    <row r="8" spans="1:21" ht="15" x14ac:dyDescent="0.25">
      <c r="E8" s="26" t="s">
        <v>15</v>
      </c>
    </row>
    <row r="9" spans="1:21" ht="15" x14ac:dyDescent="0.25">
      <c r="E9" s="26" t="s">
        <v>16</v>
      </c>
    </row>
    <row r="10" spans="1:21" ht="15" x14ac:dyDescent="0.25">
      <c r="E10" s="26" t="s">
        <v>16</v>
      </c>
    </row>
    <row r="11" spans="1:21" ht="15" x14ac:dyDescent="0.25">
      <c r="E11" s="26" t="s">
        <v>17</v>
      </c>
    </row>
    <row r="12" spans="1:21" ht="15" x14ac:dyDescent="0.25">
      <c r="E12" s="26"/>
    </row>
    <row r="14" spans="1:21" ht="17.399999999999999" x14ac:dyDescent="0.3">
      <c r="A14" s="28" t="s">
        <v>18</v>
      </c>
      <c r="B14" s="28"/>
    </row>
  </sheetData>
  <mergeCells count="13"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6.5546875" style="4" bestFit="1" customWidth="1"/>
    <col min="5" max="5" width="21.77734375" style="4" bestFit="1" customWidth="1"/>
    <col min="6" max="6" width="16.109375" style="4" bestFit="1" customWidth="1"/>
    <col min="7" max="9" width="2.109375" style="3" customWidth="1"/>
    <col min="10" max="10" width="4.5546875" style="3" customWidth="1"/>
    <col min="11" max="11" width="7.6640625" style="27" bestFit="1" customWidth="1"/>
    <col min="12" max="12" width="5.88671875" style="2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5" t="s">
        <v>508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/>
      <c r="E3" s="18" t="s">
        <v>4</v>
      </c>
      <c r="F3" s="18" t="s">
        <v>8</v>
      </c>
      <c r="G3" s="18"/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5" spans="1:13" x14ac:dyDescent="0.25">
      <c r="G5" s="6"/>
    </row>
    <row r="6" spans="1:13" ht="15" x14ac:dyDescent="0.25">
      <c r="E6" s="26" t="s">
        <v>13</v>
      </c>
    </row>
    <row r="7" spans="1:13" ht="15" x14ac:dyDescent="0.25">
      <c r="E7" s="26" t="s">
        <v>14</v>
      </c>
    </row>
    <row r="8" spans="1:13" ht="15" x14ac:dyDescent="0.25">
      <c r="E8" s="26" t="s">
        <v>15</v>
      </c>
    </row>
    <row r="9" spans="1:13" ht="15" x14ac:dyDescent="0.25">
      <c r="E9" s="26" t="s">
        <v>16</v>
      </c>
    </row>
    <row r="10" spans="1:13" ht="15" x14ac:dyDescent="0.25">
      <c r="E10" s="26" t="s">
        <v>16</v>
      </c>
    </row>
    <row r="11" spans="1:13" ht="15" x14ac:dyDescent="0.25">
      <c r="E11" s="26" t="s">
        <v>17</v>
      </c>
    </row>
    <row r="12" spans="1:13" ht="15" x14ac:dyDescent="0.25">
      <c r="E12" s="26"/>
    </row>
    <row r="14" spans="1:13" ht="17.399999999999999" x14ac:dyDescent="0.3">
      <c r="A14" s="28" t="s">
        <v>18</v>
      </c>
      <c r="B14" s="28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6" style="4" bestFit="1" customWidth="1"/>
    <col min="3" max="3" width="14.88671875" style="4" bestFit="1" customWidth="1"/>
    <col min="4" max="4" width="11.88671875" style="4" bestFit="1" customWidth="1"/>
    <col min="5" max="5" width="21.77734375" style="4" bestFit="1" customWidth="1"/>
    <col min="6" max="6" width="30.21875" style="4" bestFit="1" customWidth="1"/>
    <col min="7" max="9" width="5.5546875" style="3" customWidth="1"/>
    <col min="10" max="10" width="4.5546875" style="3" customWidth="1"/>
    <col min="11" max="11" width="7.6640625" style="27" bestFit="1" customWidth="1"/>
    <col min="12" max="12" width="7.5546875" style="2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5" t="s">
        <v>498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 t="s">
        <v>21</v>
      </c>
      <c r="E3" s="18" t="s">
        <v>4</v>
      </c>
      <c r="F3" s="18" t="s">
        <v>8</v>
      </c>
      <c r="G3" s="18" t="s">
        <v>487</v>
      </c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5" spans="1:13" ht="15.6" x14ac:dyDescent="0.3">
      <c r="A5" s="29" t="s">
        <v>499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5">
      <c r="A6" s="30" t="s">
        <v>396</v>
      </c>
      <c r="B6" s="30" t="s">
        <v>397</v>
      </c>
      <c r="C6" s="30" t="s">
        <v>398</v>
      </c>
      <c r="D6" s="30" t="str">
        <f>"0,9300"</f>
        <v>0,9300</v>
      </c>
      <c r="E6" s="30" t="s">
        <v>30</v>
      </c>
      <c r="F6" s="30" t="s">
        <v>31</v>
      </c>
      <c r="G6" s="31" t="s">
        <v>36</v>
      </c>
      <c r="H6" s="31" t="s">
        <v>195</v>
      </c>
      <c r="I6" s="32" t="s">
        <v>172</v>
      </c>
      <c r="J6" s="32"/>
      <c r="K6" s="41" t="str">
        <f>"65,0"</f>
        <v>65,0</v>
      </c>
      <c r="L6" s="42" t="str">
        <f>"60,4500"</f>
        <v>60,4500</v>
      </c>
      <c r="M6" s="30" t="s">
        <v>40</v>
      </c>
    </row>
    <row r="8" spans="1:13" ht="15.6" x14ac:dyDescent="0.3">
      <c r="A8" s="33" t="s">
        <v>488</v>
      </c>
      <c r="B8" s="43"/>
      <c r="C8" s="43"/>
      <c r="D8" s="43"/>
      <c r="E8" s="43"/>
      <c r="F8" s="43"/>
      <c r="G8" s="43"/>
      <c r="H8" s="43"/>
      <c r="I8" s="43"/>
      <c r="J8" s="43"/>
    </row>
    <row r="9" spans="1:13" x14ac:dyDescent="0.25">
      <c r="A9" s="30" t="s">
        <v>226</v>
      </c>
      <c r="B9" s="30" t="s">
        <v>500</v>
      </c>
      <c r="C9" s="30" t="s">
        <v>228</v>
      </c>
      <c r="D9" s="30" t="str">
        <f>"0,8547"</f>
        <v>0,8547</v>
      </c>
      <c r="E9" s="30" t="s">
        <v>204</v>
      </c>
      <c r="F9" s="30" t="s">
        <v>194</v>
      </c>
      <c r="G9" s="31" t="s">
        <v>36</v>
      </c>
      <c r="H9" s="31" t="s">
        <v>195</v>
      </c>
      <c r="I9" s="31" t="s">
        <v>169</v>
      </c>
      <c r="J9" s="31" t="s">
        <v>172</v>
      </c>
      <c r="K9" s="41" t="str">
        <f>"80,0"</f>
        <v>80,0</v>
      </c>
      <c r="L9" s="42" t="str">
        <f>"68,3760"</f>
        <v>68,3760</v>
      </c>
      <c r="M9" s="30" t="s">
        <v>40</v>
      </c>
    </row>
    <row r="11" spans="1:13" ht="15.6" x14ac:dyDescent="0.3">
      <c r="A11" s="33" t="s">
        <v>488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3" x14ac:dyDescent="0.25">
      <c r="A12" s="34" t="s">
        <v>490</v>
      </c>
      <c r="B12" s="34" t="s">
        <v>491</v>
      </c>
      <c r="C12" s="34" t="s">
        <v>212</v>
      </c>
      <c r="D12" s="34" t="str">
        <f>"0,6885"</f>
        <v>0,6885</v>
      </c>
      <c r="E12" s="34" t="s">
        <v>53</v>
      </c>
      <c r="F12" s="34" t="s">
        <v>194</v>
      </c>
      <c r="G12" s="35" t="s">
        <v>39</v>
      </c>
      <c r="H12" s="35" t="s">
        <v>501</v>
      </c>
      <c r="I12" s="36" t="s">
        <v>83</v>
      </c>
      <c r="J12" s="36"/>
      <c r="K12" s="44" t="str">
        <f>"120,0"</f>
        <v>120,0</v>
      </c>
      <c r="L12" s="45" t="str">
        <f>"82,6260"</f>
        <v>82,6260</v>
      </c>
      <c r="M12" s="34" t="s">
        <v>40</v>
      </c>
    </row>
    <row r="13" spans="1:13" x14ac:dyDescent="0.25">
      <c r="A13" s="37" t="s">
        <v>490</v>
      </c>
      <c r="B13" s="37" t="s">
        <v>494</v>
      </c>
      <c r="C13" s="37" t="s">
        <v>212</v>
      </c>
      <c r="D13" s="37" t="str">
        <f>"0,6885"</f>
        <v>0,6885</v>
      </c>
      <c r="E13" s="37" t="s">
        <v>53</v>
      </c>
      <c r="F13" s="37" t="s">
        <v>194</v>
      </c>
      <c r="G13" s="38" t="s">
        <v>39</v>
      </c>
      <c r="H13" s="38" t="s">
        <v>501</v>
      </c>
      <c r="I13" s="39" t="s">
        <v>83</v>
      </c>
      <c r="J13" s="39"/>
      <c r="K13" s="46" t="str">
        <f>"120,0"</f>
        <v>120,0</v>
      </c>
      <c r="L13" s="47" t="str">
        <f>"82,6260"</f>
        <v>82,6260</v>
      </c>
      <c r="M13" s="37" t="s">
        <v>40</v>
      </c>
    </row>
    <row r="15" spans="1:13" ht="15" x14ac:dyDescent="0.25">
      <c r="E15" s="26" t="s">
        <v>13</v>
      </c>
    </row>
    <row r="16" spans="1:13" ht="15" x14ac:dyDescent="0.25">
      <c r="E16" s="26" t="s">
        <v>14</v>
      </c>
    </row>
    <row r="17" spans="1:5" ht="15" x14ac:dyDescent="0.25">
      <c r="E17" s="26" t="s">
        <v>15</v>
      </c>
    </row>
    <row r="18" spans="1:5" ht="15" x14ac:dyDescent="0.25">
      <c r="E18" s="26" t="s">
        <v>16</v>
      </c>
    </row>
    <row r="19" spans="1:5" ht="15" x14ac:dyDescent="0.25">
      <c r="E19" s="26" t="s">
        <v>16</v>
      </c>
    </row>
    <row r="20" spans="1:5" ht="15" x14ac:dyDescent="0.25">
      <c r="E20" s="26" t="s">
        <v>17</v>
      </c>
    </row>
    <row r="21" spans="1:5" ht="15" x14ac:dyDescent="0.25">
      <c r="E21" s="26"/>
    </row>
    <row r="23" spans="1:5" ht="17.399999999999999" x14ac:dyDescent="0.3">
      <c r="A23" s="28" t="s">
        <v>18</v>
      </c>
      <c r="B23" s="28"/>
    </row>
    <row r="24" spans="1:5" ht="15.6" x14ac:dyDescent="0.3">
      <c r="A24" s="48" t="s">
        <v>94</v>
      </c>
      <c r="B24" s="48"/>
    </row>
    <row r="25" spans="1:5" ht="14.4" x14ac:dyDescent="0.3">
      <c r="A25" s="50"/>
      <c r="B25" s="51" t="s">
        <v>95</v>
      </c>
    </row>
    <row r="26" spans="1:5" ht="13.8" x14ac:dyDescent="0.25">
      <c r="A26" s="52" t="s">
        <v>96</v>
      </c>
      <c r="B26" s="52" t="s">
        <v>97</v>
      </c>
      <c r="C26" s="52" t="s">
        <v>98</v>
      </c>
      <c r="D26" s="52" t="s">
        <v>142</v>
      </c>
      <c r="E26" s="52" t="s">
        <v>100</v>
      </c>
    </row>
    <row r="27" spans="1:5" x14ac:dyDescent="0.25">
      <c r="A27" s="49" t="s">
        <v>395</v>
      </c>
      <c r="B27" s="4" t="s">
        <v>95</v>
      </c>
      <c r="C27" s="4" t="s">
        <v>502</v>
      </c>
      <c r="D27" s="4" t="s">
        <v>195</v>
      </c>
      <c r="E27" s="27" t="s">
        <v>503</v>
      </c>
    </row>
    <row r="29" spans="1:5" ht="14.4" x14ac:dyDescent="0.3">
      <c r="A29" s="50"/>
      <c r="B29" s="51" t="s">
        <v>504</v>
      </c>
    </row>
    <row r="30" spans="1:5" ht="13.8" x14ac:dyDescent="0.25">
      <c r="A30" s="52" t="s">
        <v>96</v>
      </c>
      <c r="B30" s="52" t="s">
        <v>97</v>
      </c>
      <c r="C30" s="52" t="s">
        <v>98</v>
      </c>
      <c r="D30" s="52" t="s">
        <v>142</v>
      </c>
      <c r="E30" s="52" t="s">
        <v>100</v>
      </c>
    </row>
    <row r="31" spans="1:5" x14ac:dyDescent="0.25">
      <c r="A31" s="49" t="s">
        <v>225</v>
      </c>
      <c r="B31" s="4" t="s">
        <v>505</v>
      </c>
      <c r="C31" s="4" t="s">
        <v>496</v>
      </c>
      <c r="D31" s="4" t="s">
        <v>172</v>
      </c>
      <c r="E31" s="27" t="s">
        <v>506</v>
      </c>
    </row>
    <row r="34" spans="1:5" ht="15.6" x14ac:dyDescent="0.3">
      <c r="A34" s="48" t="s">
        <v>106</v>
      </c>
      <c r="B34" s="48"/>
    </row>
    <row r="35" spans="1:5" ht="14.4" x14ac:dyDescent="0.3">
      <c r="A35" s="50"/>
      <c r="B35" s="51" t="s">
        <v>495</v>
      </c>
    </row>
    <row r="36" spans="1:5" ht="13.8" x14ac:dyDescent="0.25">
      <c r="A36" s="52" t="s">
        <v>96</v>
      </c>
      <c r="B36" s="52" t="s">
        <v>97</v>
      </c>
      <c r="C36" s="52" t="s">
        <v>98</v>
      </c>
      <c r="D36" s="52" t="s">
        <v>142</v>
      </c>
      <c r="E36" s="52" t="s">
        <v>100</v>
      </c>
    </row>
    <row r="37" spans="1:5" x14ac:dyDescent="0.25">
      <c r="A37" s="49" t="s">
        <v>489</v>
      </c>
      <c r="B37" s="4" t="s">
        <v>495</v>
      </c>
      <c r="C37" s="4" t="s">
        <v>496</v>
      </c>
      <c r="D37" s="4" t="s">
        <v>501</v>
      </c>
      <c r="E37" s="27" t="s">
        <v>507</v>
      </c>
    </row>
    <row r="39" spans="1:5" ht="14.4" x14ac:dyDescent="0.3">
      <c r="A39" s="50"/>
      <c r="B39" s="51" t="s">
        <v>95</v>
      </c>
    </row>
    <row r="40" spans="1:5" ht="13.8" x14ac:dyDescent="0.25">
      <c r="A40" s="52" t="s">
        <v>96</v>
      </c>
      <c r="B40" s="52" t="s">
        <v>97</v>
      </c>
      <c r="C40" s="52" t="s">
        <v>98</v>
      </c>
      <c r="D40" s="52" t="s">
        <v>142</v>
      </c>
      <c r="E40" s="52" t="s">
        <v>100</v>
      </c>
    </row>
    <row r="41" spans="1:5" x14ac:dyDescent="0.25">
      <c r="A41" s="49" t="s">
        <v>489</v>
      </c>
      <c r="B41" s="4" t="s">
        <v>95</v>
      </c>
      <c r="C41" s="4" t="s">
        <v>496</v>
      </c>
      <c r="D41" s="4" t="s">
        <v>501</v>
      </c>
      <c r="E41" s="27" t="s">
        <v>507</v>
      </c>
    </row>
  </sheetData>
  <mergeCells count="14">
    <mergeCell ref="A8:J8"/>
    <mergeCell ref="A11:J11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11.88671875" style="4" bestFit="1" customWidth="1"/>
    <col min="5" max="6" width="21.77734375" style="4" bestFit="1" customWidth="1"/>
    <col min="7" max="8" width="4.5546875" style="3" customWidth="1"/>
    <col min="9" max="9" width="2.109375" style="3" customWidth="1"/>
    <col min="10" max="10" width="4.5546875" style="3" customWidth="1"/>
    <col min="11" max="11" width="7.6640625" style="27" bestFit="1" customWidth="1"/>
    <col min="12" max="12" width="7.5546875" style="2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5" t="s">
        <v>486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12.75" customHeight="1" x14ac:dyDescent="0.25">
      <c r="A3" s="19" t="s">
        <v>0</v>
      </c>
      <c r="B3" s="21" t="s">
        <v>7</v>
      </c>
      <c r="C3" s="21" t="s">
        <v>11</v>
      </c>
      <c r="D3" s="18" t="s">
        <v>21</v>
      </c>
      <c r="E3" s="18" t="s">
        <v>4</v>
      </c>
      <c r="F3" s="18" t="s">
        <v>8</v>
      </c>
      <c r="G3" s="18" t="s">
        <v>487</v>
      </c>
      <c r="H3" s="18"/>
      <c r="I3" s="18"/>
      <c r="J3" s="18"/>
      <c r="K3" s="18" t="s">
        <v>146</v>
      </c>
      <c r="L3" s="18" t="s">
        <v>3</v>
      </c>
      <c r="M3" s="23" t="s">
        <v>2</v>
      </c>
    </row>
    <row r="4" spans="1:13" s="1" customFormat="1" ht="21" customHeight="1" thickBot="1" x14ac:dyDescent="0.3">
      <c r="A4" s="20"/>
      <c r="B4" s="22"/>
      <c r="C4" s="22"/>
      <c r="D4" s="22"/>
      <c r="E4" s="22"/>
      <c r="F4" s="22"/>
      <c r="G4" s="9">
        <v>1</v>
      </c>
      <c r="H4" s="9">
        <v>2</v>
      </c>
      <c r="I4" s="9">
        <v>3</v>
      </c>
      <c r="J4" s="9" t="s">
        <v>5</v>
      </c>
      <c r="K4" s="22"/>
      <c r="L4" s="22"/>
      <c r="M4" s="24"/>
    </row>
    <row r="5" spans="1:13" ht="15.6" x14ac:dyDescent="0.3">
      <c r="A5" s="29" t="s">
        <v>488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5">
      <c r="A6" s="34" t="s">
        <v>490</v>
      </c>
      <c r="B6" s="34" t="s">
        <v>491</v>
      </c>
      <c r="C6" s="34" t="s">
        <v>212</v>
      </c>
      <c r="D6" s="34" t="str">
        <f>"0,6885"</f>
        <v>0,6885</v>
      </c>
      <c r="E6" s="34" t="s">
        <v>53</v>
      </c>
      <c r="F6" s="34" t="s">
        <v>194</v>
      </c>
      <c r="G6" s="35" t="s">
        <v>492</v>
      </c>
      <c r="H6" s="36" t="s">
        <v>493</v>
      </c>
      <c r="I6" s="36"/>
      <c r="J6" s="36"/>
      <c r="K6" s="44" t="str">
        <f>"50,5"</f>
        <v>50,5</v>
      </c>
      <c r="L6" s="45" t="str">
        <f>"34,7718"</f>
        <v>34,7718</v>
      </c>
      <c r="M6" s="34" t="s">
        <v>40</v>
      </c>
    </row>
    <row r="7" spans="1:13" x14ac:dyDescent="0.25">
      <c r="A7" s="37" t="s">
        <v>490</v>
      </c>
      <c r="B7" s="37" t="s">
        <v>494</v>
      </c>
      <c r="C7" s="37" t="s">
        <v>212</v>
      </c>
      <c r="D7" s="37" t="str">
        <f>"0,6885"</f>
        <v>0,6885</v>
      </c>
      <c r="E7" s="37" t="s">
        <v>53</v>
      </c>
      <c r="F7" s="37" t="s">
        <v>194</v>
      </c>
      <c r="G7" s="38" t="s">
        <v>492</v>
      </c>
      <c r="H7" s="39" t="s">
        <v>493</v>
      </c>
      <c r="I7" s="39"/>
      <c r="J7" s="39"/>
      <c r="K7" s="46" t="str">
        <f>"50,5"</f>
        <v>50,5</v>
      </c>
      <c r="L7" s="47" t="str">
        <f>"34,7718"</f>
        <v>34,7718</v>
      </c>
      <c r="M7" s="37" t="s">
        <v>40</v>
      </c>
    </row>
    <row r="9" spans="1:13" ht="15" x14ac:dyDescent="0.25">
      <c r="E9" s="26" t="s">
        <v>13</v>
      </c>
    </row>
    <row r="10" spans="1:13" ht="15" x14ac:dyDescent="0.25">
      <c r="E10" s="26" t="s">
        <v>14</v>
      </c>
    </row>
    <row r="11" spans="1:13" ht="15" x14ac:dyDescent="0.25">
      <c r="E11" s="26" t="s">
        <v>15</v>
      </c>
    </row>
    <row r="12" spans="1:13" ht="15" x14ac:dyDescent="0.25">
      <c r="E12" s="26" t="s">
        <v>16</v>
      </c>
    </row>
    <row r="13" spans="1:13" ht="15" x14ac:dyDescent="0.25">
      <c r="E13" s="26" t="s">
        <v>16</v>
      </c>
    </row>
    <row r="14" spans="1:13" ht="15" x14ac:dyDescent="0.25">
      <c r="E14" s="26" t="s">
        <v>17</v>
      </c>
    </row>
    <row r="15" spans="1:13" ht="15" x14ac:dyDescent="0.25">
      <c r="E15" s="26"/>
    </row>
    <row r="17" spans="1:5" ht="17.399999999999999" x14ac:dyDescent="0.3">
      <c r="A17" s="28" t="s">
        <v>18</v>
      </c>
      <c r="B17" s="28"/>
    </row>
    <row r="18" spans="1:5" ht="15.6" x14ac:dyDescent="0.3">
      <c r="A18" s="48" t="s">
        <v>106</v>
      </c>
      <c r="B18" s="48"/>
    </row>
    <row r="19" spans="1:5" ht="14.4" x14ac:dyDescent="0.3">
      <c r="A19" s="50"/>
      <c r="B19" s="51" t="s">
        <v>495</v>
      </c>
    </row>
    <row r="20" spans="1:5" ht="13.8" x14ac:dyDescent="0.25">
      <c r="A20" s="52" t="s">
        <v>96</v>
      </c>
      <c r="B20" s="52" t="s">
        <v>97</v>
      </c>
      <c r="C20" s="52" t="s">
        <v>98</v>
      </c>
      <c r="D20" s="52" t="s">
        <v>142</v>
      </c>
      <c r="E20" s="52" t="s">
        <v>100</v>
      </c>
    </row>
    <row r="21" spans="1:5" x14ac:dyDescent="0.25">
      <c r="A21" s="49" t="s">
        <v>489</v>
      </c>
      <c r="B21" s="4" t="s">
        <v>495</v>
      </c>
      <c r="C21" s="4" t="s">
        <v>496</v>
      </c>
      <c r="D21" s="4" t="s">
        <v>492</v>
      </c>
      <c r="E21" s="27" t="s">
        <v>497</v>
      </c>
    </row>
    <row r="23" spans="1:5" ht="14.4" x14ac:dyDescent="0.3">
      <c r="A23" s="50"/>
      <c r="B23" s="51" t="s">
        <v>95</v>
      </c>
    </row>
    <row r="24" spans="1:5" ht="13.8" x14ac:dyDescent="0.25">
      <c r="A24" s="52" t="s">
        <v>96</v>
      </c>
      <c r="B24" s="52" t="s">
        <v>97</v>
      </c>
      <c r="C24" s="52" t="s">
        <v>98</v>
      </c>
      <c r="D24" s="52" t="s">
        <v>142</v>
      </c>
      <c r="E24" s="52" t="s">
        <v>100</v>
      </c>
    </row>
    <row r="25" spans="1:5" x14ac:dyDescent="0.25">
      <c r="A25" s="49" t="s">
        <v>489</v>
      </c>
      <c r="B25" s="4" t="s">
        <v>95</v>
      </c>
      <c r="C25" s="4" t="s">
        <v>496</v>
      </c>
      <c r="D25" s="4" t="s">
        <v>492</v>
      </c>
      <c r="E25" s="27" t="s">
        <v>497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11.88671875" style="4" bestFit="1" customWidth="1"/>
    <col min="5" max="5" width="21.77734375" style="4" bestFit="1" customWidth="1"/>
    <col min="6" max="6" width="38.21875" style="4" bestFit="1" customWidth="1"/>
    <col min="7" max="7" width="4.77734375" style="3" customWidth="1"/>
    <col min="8" max="8" width="10" style="3" customWidth="1"/>
    <col min="9" max="9" width="7.6640625" style="27" bestFit="1" customWidth="1"/>
    <col min="10" max="10" width="9.5546875" style="2" bestFit="1" customWidth="1"/>
    <col min="11" max="11" width="8.33203125" style="4" bestFit="1" customWidth="1"/>
    <col min="12" max="16384" width="9.109375" style="3"/>
  </cols>
  <sheetData>
    <row r="1" spans="1:11" s="2" customFormat="1" ht="28.95" customHeight="1" x14ac:dyDescent="0.25">
      <c r="A1" s="25" t="s">
        <v>473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s="1" customFormat="1" ht="12.75" customHeight="1" x14ac:dyDescent="0.25">
      <c r="A3" s="19" t="s">
        <v>0</v>
      </c>
      <c r="B3" s="21" t="s">
        <v>7</v>
      </c>
      <c r="C3" s="21" t="s">
        <v>11</v>
      </c>
      <c r="D3" s="18" t="s">
        <v>21</v>
      </c>
      <c r="E3" s="18" t="s">
        <v>4</v>
      </c>
      <c r="F3" s="18" t="s">
        <v>8</v>
      </c>
      <c r="G3" s="18" t="s">
        <v>440</v>
      </c>
      <c r="H3" s="18"/>
      <c r="I3" s="18" t="s">
        <v>452</v>
      </c>
      <c r="J3" s="18" t="s">
        <v>3</v>
      </c>
      <c r="K3" s="23" t="s">
        <v>2</v>
      </c>
    </row>
    <row r="4" spans="1:11" s="1" customFormat="1" ht="21" customHeight="1" thickBot="1" x14ac:dyDescent="0.3">
      <c r="A4" s="20"/>
      <c r="B4" s="22"/>
      <c r="C4" s="22"/>
      <c r="D4" s="22"/>
      <c r="E4" s="22"/>
      <c r="F4" s="22"/>
      <c r="G4" s="9" t="s">
        <v>9</v>
      </c>
      <c r="H4" s="9" t="s">
        <v>10</v>
      </c>
      <c r="I4" s="22"/>
      <c r="J4" s="22"/>
      <c r="K4" s="24"/>
    </row>
    <row r="5" spans="1:11" ht="15.6" x14ac:dyDescent="0.3">
      <c r="A5" s="29" t="s">
        <v>164</v>
      </c>
      <c r="B5" s="40"/>
      <c r="C5" s="40"/>
      <c r="D5" s="40"/>
      <c r="E5" s="40"/>
      <c r="F5" s="40"/>
      <c r="G5" s="40"/>
      <c r="H5" s="40"/>
    </row>
    <row r="6" spans="1:11" x14ac:dyDescent="0.25">
      <c r="A6" s="34" t="s">
        <v>475</v>
      </c>
      <c r="B6" s="34" t="s">
        <v>476</v>
      </c>
      <c r="C6" s="34" t="s">
        <v>477</v>
      </c>
      <c r="D6" s="34" t="str">
        <f>"1,1441"</f>
        <v>1,1441</v>
      </c>
      <c r="E6" s="34" t="s">
        <v>53</v>
      </c>
      <c r="F6" s="34" t="s">
        <v>194</v>
      </c>
      <c r="G6" s="35" t="s">
        <v>428</v>
      </c>
      <c r="H6" s="35" t="s">
        <v>478</v>
      </c>
      <c r="I6" s="44" t="str">
        <f>"1050,0"</f>
        <v>1050,0</v>
      </c>
      <c r="J6" s="45" t="str">
        <f>"1201,3049"</f>
        <v>1201,3049</v>
      </c>
      <c r="K6" s="34" t="s">
        <v>40</v>
      </c>
    </row>
    <row r="7" spans="1:11" x14ac:dyDescent="0.25">
      <c r="A7" s="37" t="s">
        <v>479</v>
      </c>
      <c r="B7" s="37" t="s">
        <v>236</v>
      </c>
      <c r="C7" s="37" t="s">
        <v>237</v>
      </c>
      <c r="D7" s="37" t="str">
        <f>"1,1352"</f>
        <v>1,1352</v>
      </c>
      <c r="E7" s="37" t="s">
        <v>138</v>
      </c>
      <c r="F7" s="37" t="s">
        <v>139</v>
      </c>
      <c r="G7" s="38" t="s">
        <v>480</v>
      </c>
      <c r="H7" s="38" t="s">
        <v>481</v>
      </c>
      <c r="I7" s="46" t="str">
        <f>"852,5"</f>
        <v>852,5</v>
      </c>
      <c r="J7" s="47" t="str">
        <f>"967,7580"</f>
        <v>967,7580</v>
      </c>
      <c r="K7" s="37" t="s">
        <v>40</v>
      </c>
    </row>
    <row r="9" spans="1:11" ht="15" x14ac:dyDescent="0.25">
      <c r="E9" s="26" t="s">
        <v>13</v>
      </c>
    </row>
    <row r="10" spans="1:11" ht="15" x14ac:dyDescent="0.25">
      <c r="E10" s="26" t="s">
        <v>14</v>
      </c>
    </row>
    <row r="11" spans="1:11" ht="15" x14ac:dyDescent="0.25">
      <c r="E11" s="26" t="s">
        <v>15</v>
      </c>
    </row>
    <row r="12" spans="1:11" ht="15" x14ac:dyDescent="0.25">
      <c r="E12" s="26" t="s">
        <v>16</v>
      </c>
    </row>
    <row r="13" spans="1:11" ht="15" x14ac:dyDescent="0.25">
      <c r="E13" s="26" t="s">
        <v>16</v>
      </c>
    </row>
    <row r="14" spans="1:11" ht="15" x14ac:dyDescent="0.25">
      <c r="E14" s="26" t="s">
        <v>17</v>
      </c>
    </row>
    <row r="15" spans="1:11" ht="15" x14ac:dyDescent="0.25">
      <c r="E15" s="26"/>
    </row>
    <row r="17" spans="1:5" ht="17.399999999999999" x14ac:dyDescent="0.3">
      <c r="A17" s="28" t="s">
        <v>18</v>
      </c>
      <c r="B17" s="28"/>
    </row>
    <row r="18" spans="1:5" ht="15.6" x14ac:dyDescent="0.3">
      <c r="A18" s="48" t="s">
        <v>94</v>
      </c>
      <c r="B18" s="48"/>
    </row>
    <row r="19" spans="1:5" ht="14.4" x14ac:dyDescent="0.3">
      <c r="A19" s="50"/>
      <c r="B19" s="51" t="s">
        <v>95</v>
      </c>
    </row>
    <row r="20" spans="1:5" ht="13.8" x14ac:dyDescent="0.25">
      <c r="A20" s="52" t="s">
        <v>96</v>
      </c>
      <c r="B20" s="52" t="s">
        <v>97</v>
      </c>
      <c r="C20" s="52" t="s">
        <v>98</v>
      </c>
      <c r="D20" s="52" t="s">
        <v>142</v>
      </c>
      <c r="E20" s="52" t="s">
        <v>100</v>
      </c>
    </row>
    <row r="21" spans="1:5" x14ac:dyDescent="0.25">
      <c r="A21" s="49" t="s">
        <v>474</v>
      </c>
      <c r="B21" s="4" t="s">
        <v>95</v>
      </c>
      <c r="C21" s="4" t="s">
        <v>184</v>
      </c>
      <c r="D21" s="4" t="s">
        <v>482</v>
      </c>
      <c r="E21" s="27" t="s">
        <v>483</v>
      </c>
    </row>
    <row r="22" spans="1:5" x14ac:dyDescent="0.25">
      <c r="A22" s="49" t="s">
        <v>234</v>
      </c>
      <c r="B22" s="4" t="s">
        <v>95</v>
      </c>
      <c r="C22" s="4" t="s">
        <v>184</v>
      </c>
      <c r="D22" s="4" t="s">
        <v>484</v>
      </c>
      <c r="E22" s="27" t="s">
        <v>485</v>
      </c>
    </row>
  </sheetData>
  <mergeCells count="12">
    <mergeCell ref="G3:H3"/>
    <mergeCell ref="I3:I4"/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6.5546875" style="4" bestFit="1" customWidth="1"/>
    <col min="5" max="5" width="21.77734375" style="4" bestFit="1" customWidth="1"/>
    <col min="6" max="6" width="16.109375" style="4" bestFit="1" customWidth="1"/>
    <col min="7" max="7" width="4.77734375" style="3" customWidth="1"/>
    <col min="8" max="8" width="10" style="3" customWidth="1"/>
    <col min="9" max="9" width="7.6640625" style="27" bestFit="1" customWidth="1"/>
    <col min="10" max="10" width="5.88671875" style="2" bestFit="1" customWidth="1"/>
    <col min="11" max="11" width="8.33203125" style="4" bestFit="1" customWidth="1"/>
    <col min="12" max="16384" width="9.109375" style="3"/>
  </cols>
  <sheetData>
    <row r="1" spans="1:11" s="2" customFormat="1" ht="28.95" customHeight="1" x14ac:dyDescent="0.25">
      <c r="A1" s="25" t="s">
        <v>472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s="2" customFormat="1" ht="61.9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s="1" customFormat="1" ht="12.75" customHeight="1" x14ac:dyDescent="0.25">
      <c r="A3" s="19" t="s">
        <v>0</v>
      </c>
      <c r="B3" s="21" t="s">
        <v>7</v>
      </c>
      <c r="C3" s="21" t="s">
        <v>11</v>
      </c>
      <c r="D3" s="18"/>
      <c r="E3" s="18" t="s">
        <v>4</v>
      </c>
      <c r="F3" s="18" t="s">
        <v>8</v>
      </c>
      <c r="G3" s="18"/>
      <c r="H3" s="18"/>
      <c r="I3" s="18" t="s">
        <v>452</v>
      </c>
      <c r="J3" s="18" t="s">
        <v>3</v>
      </c>
      <c r="K3" s="23" t="s">
        <v>2</v>
      </c>
    </row>
    <row r="4" spans="1:11" s="1" customFormat="1" ht="21" customHeight="1" thickBot="1" x14ac:dyDescent="0.3">
      <c r="A4" s="20"/>
      <c r="B4" s="22"/>
      <c r="C4" s="22"/>
      <c r="D4" s="22"/>
      <c r="E4" s="22"/>
      <c r="F4" s="22"/>
      <c r="G4" s="9" t="s">
        <v>9</v>
      </c>
      <c r="H4" s="9" t="s">
        <v>10</v>
      </c>
      <c r="I4" s="22"/>
      <c r="J4" s="22"/>
      <c r="K4" s="24"/>
    </row>
    <row r="6" spans="1:11" ht="15" x14ac:dyDescent="0.25">
      <c r="E6" s="26" t="s">
        <v>13</v>
      </c>
    </row>
    <row r="7" spans="1:11" ht="15" x14ac:dyDescent="0.25">
      <c r="E7" s="26" t="s">
        <v>14</v>
      </c>
    </row>
    <row r="8" spans="1:11" ht="15" x14ac:dyDescent="0.25">
      <c r="E8" s="26" t="s">
        <v>15</v>
      </c>
    </row>
    <row r="9" spans="1:11" ht="15" x14ac:dyDescent="0.25">
      <c r="E9" s="26" t="s">
        <v>16</v>
      </c>
    </row>
    <row r="10" spans="1:11" ht="15" x14ac:dyDescent="0.25">
      <c r="E10" s="26" t="s">
        <v>16</v>
      </c>
    </row>
    <row r="11" spans="1:11" ht="15" x14ac:dyDescent="0.25">
      <c r="E11" s="26" t="s">
        <v>17</v>
      </c>
    </row>
    <row r="12" spans="1:11" ht="15" x14ac:dyDescent="0.25">
      <c r="E12" s="26"/>
    </row>
    <row r="14" spans="1:11" ht="17.399999999999999" x14ac:dyDescent="0.3">
      <c r="A14" s="28" t="s">
        <v>18</v>
      </c>
      <c r="B14" s="28"/>
    </row>
  </sheetData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41</vt:i4>
      </vt:variant>
    </vt:vector>
  </HeadingPairs>
  <TitlesOfParts>
    <vt:vector size="41" baseType="lpstr">
      <vt:lpstr>Лист40</vt:lpstr>
      <vt:lpstr>Excalibur</vt:lpstr>
      <vt:lpstr>Rus bullet</vt:lpstr>
      <vt:lpstr>Rus brick</vt:lpstr>
      <vt:lpstr>Rus HUB</vt:lpstr>
      <vt:lpstr>Rus Axle</vt:lpstr>
      <vt:lpstr>Rus Roullette</vt:lpstr>
      <vt:lpstr>AWPC НЖ 1_2 вес</vt:lpstr>
      <vt:lpstr>WPC НЖ 1_2 вес</vt:lpstr>
      <vt:lpstr>AWPC НЖ 1 вес</vt:lpstr>
      <vt:lpstr>WPC НЖ 1 вес</vt:lpstr>
      <vt:lpstr>WPC стр. под.на биц</vt:lpstr>
      <vt:lpstr>AWPC стр. под.на биц</vt:lpstr>
      <vt:lpstr>AWPC мн.слой тяга</vt:lpstr>
      <vt:lpstr>AWPC 1 слой тяга</vt:lpstr>
      <vt:lpstr>AWPC б_э тяга</vt:lpstr>
      <vt:lpstr>WPC мн.слой тяга</vt:lpstr>
      <vt:lpstr>WPC 1 слой тяга</vt:lpstr>
      <vt:lpstr>WPC б_э тяга</vt:lpstr>
      <vt:lpstr>AWPC мн. софт эк. жим</vt:lpstr>
      <vt:lpstr>AWPC ст. софт эк. жим</vt:lpstr>
      <vt:lpstr>AWPC мн.слой жим</vt:lpstr>
      <vt:lpstr>AWPC 1 слой жим</vt:lpstr>
      <vt:lpstr>WPC жим стоя</vt:lpstr>
      <vt:lpstr>AWPC жим стоя</vt:lpstr>
      <vt:lpstr>AWPC б_э жим</vt:lpstr>
      <vt:lpstr>AWPC мн.слой ПЛ</vt:lpstr>
      <vt:lpstr>AWPC 1 слой ПЛ</vt:lpstr>
      <vt:lpstr>AWPC Класс. ПЛ</vt:lpstr>
      <vt:lpstr>AWPC б_э ПЛ</vt:lpstr>
      <vt:lpstr>WPC мн. софт эк. жим</vt:lpstr>
      <vt:lpstr>WPC ст. софт эк. жим</vt:lpstr>
      <vt:lpstr>WPC мн.слой жим</vt:lpstr>
      <vt:lpstr>WPC 1 слой жим</vt:lpstr>
      <vt:lpstr>WPC б_э жим</vt:lpstr>
      <vt:lpstr>WPC мн.слой ПЛ</vt:lpstr>
      <vt:lpstr>WPC 1 слой ПЛ</vt:lpstr>
      <vt:lpstr>WPC класс. ПЛ</vt:lpstr>
      <vt:lpstr>WPC б_э ПЛ</vt:lpstr>
      <vt:lpstr>AWPC софт ПЛ</vt:lpstr>
      <vt:lpstr>WPC софт ПЛ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User</cp:lastModifiedBy>
  <cp:lastPrinted>2015-07-16T19:10:53Z</cp:lastPrinted>
  <dcterms:created xsi:type="dcterms:W3CDTF">2002-06-16T13:36:44Z</dcterms:created>
  <dcterms:modified xsi:type="dcterms:W3CDTF">2021-09-07T16:21:49Z</dcterms:modified>
</cp:coreProperties>
</file>