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" windowWidth="11340" windowHeight="9696" firstSheet="7" activeTab="11"/>
  </bookViews>
  <sheets>
    <sheet name="HUB" sheetId="51" r:id="rId1"/>
    <sheet name="IPС-A Двоеборье б.э." sheetId="47" r:id="rId2"/>
    <sheet name="IPC-A Подъем на бицепс" sheetId="38" r:id="rId3"/>
    <sheet name="IPC Подъем на бицепс" sheetId="34" r:id="rId4"/>
    <sheet name="IPC Тяга без экипировки" sheetId="31" r:id="rId5"/>
    <sheet name="IPC-A Жим софт стандарт" sheetId="27" r:id="rId6"/>
    <sheet name="IPC-A Жим лежа без экип" sheetId="24" r:id="rId7"/>
    <sheet name="IPC Жим софт стандарт" sheetId="20" r:id="rId8"/>
    <sheet name="IPC-A ПЛ без экипировки" sheetId="11" r:id="rId9"/>
    <sheet name="IPC-A Клас. ПЛ" sheetId="9" r:id="rId10"/>
    <sheet name="IPC Клас. ПЛ" sheetId="5" r:id="rId11"/>
    <sheet name="IPC-A Тяга без экипировки" sheetId="52" r:id="rId12"/>
  </sheets>
  <definedNames>
    <definedName name="_FilterDatabase" localSheetId="10" hidden="1">'IPC Клас. ПЛ'!$A$1:$S$3</definedName>
  </definedNames>
  <calcPr calcId="144525" refMode="R1C1"/>
</workbook>
</file>

<file path=xl/calcChain.xml><?xml version="1.0" encoding="utf-8"?>
<calcChain xmlns="http://schemas.openxmlformats.org/spreadsheetml/2006/main">
  <c r="L25" i="52" l="1"/>
  <c r="K25" i="52"/>
  <c r="D25" i="52"/>
  <c r="L22" i="52"/>
  <c r="K22" i="52"/>
  <c r="D22" i="52"/>
  <c r="L19" i="52"/>
  <c r="K19" i="52"/>
  <c r="D19" i="52"/>
  <c r="L18" i="52"/>
  <c r="K18" i="52"/>
  <c r="D18" i="52"/>
  <c r="L17" i="52"/>
  <c r="K17" i="52"/>
  <c r="D17" i="52"/>
  <c r="L16" i="52"/>
  <c r="K16" i="52"/>
  <c r="D16" i="52"/>
  <c r="L13" i="52"/>
  <c r="K13" i="52"/>
  <c r="D13" i="52"/>
  <c r="L10" i="52"/>
  <c r="K10" i="52"/>
  <c r="D10" i="52"/>
  <c r="L7" i="52"/>
  <c r="K7" i="52"/>
  <c r="D7" i="52"/>
  <c r="L6" i="52"/>
  <c r="K6" i="52"/>
  <c r="D6" i="52"/>
  <c r="L9" i="51" l="1"/>
  <c r="K9" i="51"/>
  <c r="D9" i="51"/>
  <c r="L6" i="51"/>
  <c r="K6" i="51"/>
  <c r="D6" i="51"/>
  <c r="P6" i="47"/>
  <c r="O6" i="47"/>
  <c r="D6" i="47"/>
  <c r="L13" i="38"/>
  <c r="K13" i="38"/>
  <c r="D13" i="38"/>
  <c r="L10" i="38"/>
  <c r="K10" i="38"/>
  <c r="D10" i="38"/>
  <c r="L7" i="38"/>
  <c r="K7" i="38"/>
  <c r="D7" i="38"/>
  <c r="L6" i="38"/>
  <c r="K6" i="38"/>
  <c r="D6" i="38"/>
  <c r="L9" i="34"/>
  <c r="K9" i="34"/>
  <c r="D9" i="34"/>
  <c r="L6" i="34"/>
  <c r="K6" i="34"/>
  <c r="D6" i="34"/>
  <c r="L15" i="31"/>
  <c r="K15" i="31"/>
  <c r="D15" i="31"/>
  <c r="L12" i="31"/>
  <c r="K12" i="31"/>
  <c r="D12" i="31"/>
  <c r="L9" i="31"/>
  <c r="K9" i="31"/>
  <c r="D9" i="31"/>
  <c r="L6" i="31"/>
  <c r="K6" i="31"/>
  <c r="D6" i="31"/>
  <c r="L16" i="27"/>
  <c r="K16" i="27"/>
  <c r="D16" i="27"/>
  <c r="L13" i="27"/>
  <c r="K13" i="27"/>
  <c r="D13" i="27"/>
  <c r="L10" i="27"/>
  <c r="K10" i="27"/>
  <c r="D10" i="27"/>
  <c r="L7" i="27"/>
  <c r="K7" i="27"/>
  <c r="D7" i="27"/>
  <c r="L6" i="27"/>
  <c r="K6" i="27"/>
  <c r="D6" i="27"/>
  <c r="L25" i="24"/>
  <c r="K25" i="24"/>
  <c r="D25" i="24"/>
  <c r="L22" i="24"/>
  <c r="K22" i="24"/>
  <c r="D22" i="24"/>
  <c r="L19" i="24"/>
  <c r="K19" i="24"/>
  <c r="D19" i="24"/>
  <c r="L18" i="24"/>
  <c r="K18" i="24"/>
  <c r="D18" i="24"/>
  <c r="L15" i="24"/>
  <c r="K15" i="24"/>
  <c r="D15" i="24"/>
  <c r="L12" i="24"/>
  <c r="K12" i="24"/>
  <c r="D12" i="24"/>
  <c r="L9" i="24"/>
  <c r="K9" i="24"/>
  <c r="D9" i="24"/>
  <c r="L6" i="24"/>
  <c r="K6" i="24"/>
  <c r="D6" i="24"/>
  <c r="L18" i="20"/>
  <c r="K18" i="20"/>
  <c r="D18" i="20"/>
  <c r="L17" i="20"/>
  <c r="K17" i="20"/>
  <c r="D17" i="20"/>
  <c r="L14" i="20"/>
  <c r="K14" i="20"/>
  <c r="D14" i="20"/>
  <c r="L13" i="20"/>
  <c r="K13" i="20"/>
  <c r="D13" i="20"/>
  <c r="L12" i="20"/>
  <c r="K12" i="20"/>
  <c r="D12" i="20"/>
  <c r="L9" i="20"/>
  <c r="K9" i="20"/>
  <c r="D9" i="20"/>
  <c r="L6" i="20"/>
  <c r="K6" i="20"/>
  <c r="D6" i="20"/>
  <c r="T12" i="11"/>
  <c r="S12" i="11"/>
  <c r="D12" i="11"/>
  <c r="T9" i="11"/>
  <c r="S9" i="11"/>
  <c r="D9" i="11"/>
  <c r="T6" i="11"/>
  <c r="S6" i="11"/>
  <c r="D6" i="11"/>
  <c r="T15" i="9"/>
  <c r="S15" i="9"/>
  <c r="D15" i="9"/>
  <c r="T12" i="9"/>
  <c r="S12" i="9"/>
  <c r="D12" i="9"/>
  <c r="T9" i="9"/>
  <c r="S9" i="9"/>
  <c r="D9" i="9"/>
  <c r="T6" i="9"/>
  <c r="S6" i="9"/>
  <c r="D6" i="9"/>
  <c r="T6" i="5"/>
  <c r="S6" i="5"/>
  <c r="D6" i="5"/>
</calcChain>
</file>

<file path=xl/sharedStrings.xml><?xml version="1.0" encoding="utf-8"?>
<sst xmlns="http://schemas.openxmlformats.org/spreadsheetml/2006/main" count="1166" uniqueCount="336">
  <si>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</si>
  <si>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</si>
  <si>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</si>
  <si>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</si>
  <si>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</si>
  <si>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</si>
  <si>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</si>
  <si>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</si>
  <si>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</si>
  <si>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10-й ОТКРЫТЫЙ НАЦИОНАЛЬНЫЙ КУБОК СВАРОГА IPC/IPC-A/WAA-2023
IPC Пауэрлифтинг классический
Курск/Курская область 25 - 26 марта 2023 г.</t>
  </si>
  <si>
    <t>Gloss</t>
  </si>
  <si>
    <t>Приседание</t>
  </si>
  <si>
    <t>Жим лёжа</t>
  </si>
  <si>
    <t>Становая тяга</t>
  </si>
  <si>
    <t>ВЕСОВАЯ КАТЕГОРИЯ   90</t>
  </si>
  <si>
    <t xml:space="preserve">Марков Тимофей </t>
  </si>
  <si>
    <t xml:space="preserve">1. Марков Тимофей </t>
  </si>
  <si>
    <t>Ветераны 40 - 44 (07.03.1982)/41</t>
  </si>
  <si>
    <t>89,40</t>
  </si>
  <si>
    <t xml:space="preserve">Носорог </t>
  </si>
  <si>
    <t xml:space="preserve">Курск/Курская область </t>
  </si>
  <si>
    <t>190,0</t>
  </si>
  <si>
    <t>200,0</t>
  </si>
  <si>
    <t>210,0</t>
  </si>
  <si>
    <t>130,0</t>
  </si>
  <si>
    <t>140,0</t>
  </si>
  <si>
    <t>145,0</t>
  </si>
  <si>
    <t>230,0</t>
  </si>
  <si>
    <t>250,0</t>
  </si>
  <si>
    <t>260,0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</si>
  <si>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</si>
  <si>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</si>
  <si>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</si>
  <si>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</si>
  <si>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</si>
  <si>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</si>
  <si>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</si>
  <si>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</si>
  <si>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</si>
  <si>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</si>
  <si>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</si>
  <si>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</si>
  <si>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</si>
  <si>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</si>
  <si>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Ветераны 40 - 44 </t>
  </si>
  <si>
    <t>90</t>
  </si>
  <si>
    <t>10-й ОТКРЫТЫЙ НАЦИОНАЛЬНЫЙ КУБОК СВАРОГА IPC/IPC-A/WAA-2023
IPC-A Пауэрлифтинг классический
Курск/Курская область 25 - 26 марта 2023 г.</t>
  </si>
  <si>
    <t>ВЕСОВАЯ КАТЕГОРИЯ   67.5</t>
  </si>
  <si>
    <t xml:space="preserve">Крамская Вероника </t>
  </si>
  <si>
    <t xml:space="preserve">1. Крамская Вероника </t>
  </si>
  <si>
    <t>Девушки 16 - 17 (18.12.2006)/16</t>
  </si>
  <si>
    <t>65,00</t>
  </si>
  <si>
    <t xml:space="preserve">Носорог ПРО </t>
  </si>
  <si>
    <t>92,5</t>
  </si>
  <si>
    <t>97,5</t>
  </si>
  <si>
    <t>40,0</t>
  </si>
  <si>
    <t>42,5</t>
  </si>
  <si>
    <t>45,0</t>
  </si>
  <si>
    <t>107,5</t>
  </si>
  <si>
    <t>115,0</t>
  </si>
  <si>
    <t>120,0</t>
  </si>
  <si>
    <t xml:space="preserve">Енина Елена </t>
  </si>
  <si>
    <t>ВЕСОВАЯ КАТЕГОРИЯ   75</t>
  </si>
  <si>
    <t xml:space="preserve">Фомина Виктория </t>
  </si>
  <si>
    <t xml:space="preserve">1. Фомина Виктория </t>
  </si>
  <si>
    <t>Открытая (29.11.1996)/26</t>
  </si>
  <si>
    <t>70,60</t>
  </si>
  <si>
    <t>102,5</t>
  </si>
  <si>
    <t>47,5</t>
  </si>
  <si>
    <t>50,0</t>
  </si>
  <si>
    <t>100,0</t>
  </si>
  <si>
    <t>110,0</t>
  </si>
  <si>
    <t xml:space="preserve">Корсунов Артем </t>
  </si>
  <si>
    <t xml:space="preserve">1. Корсунов Артем </t>
  </si>
  <si>
    <t>Юноши 13 - 15 (03.11.2008)/14</t>
  </si>
  <si>
    <t>67,30</t>
  </si>
  <si>
    <t>72,5</t>
  </si>
  <si>
    <t>77,5</t>
  </si>
  <si>
    <t>82,5</t>
  </si>
  <si>
    <t>52,5</t>
  </si>
  <si>
    <t>87,5</t>
  </si>
  <si>
    <t>105,0</t>
  </si>
  <si>
    <t>ВЕСОВАЯ КАТЕГОРИЯ   82.5</t>
  </si>
  <si>
    <t xml:space="preserve">Лукьянчиков Даниил </t>
  </si>
  <si>
    <t xml:space="preserve">-. Лукьянчиков Даниил </t>
  </si>
  <si>
    <t>Юноши 18 - 19 (10.01.2004)/19</t>
  </si>
  <si>
    <t>79,80</t>
  </si>
  <si>
    <t xml:space="preserve">лично </t>
  </si>
  <si>
    <t>170,0</t>
  </si>
  <si>
    <t xml:space="preserve">Женщины </t>
  </si>
  <si>
    <t xml:space="preserve">Девушки </t>
  </si>
  <si>
    <t xml:space="preserve">Юноши 16 - 17 </t>
  </si>
  <si>
    <t>67.5</t>
  </si>
  <si>
    <t xml:space="preserve">Открытая </t>
  </si>
  <si>
    <t>75</t>
  </si>
  <si>
    <t xml:space="preserve">Юноши </t>
  </si>
  <si>
    <t xml:space="preserve">Юноши 13 - 15 </t>
  </si>
  <si>
    <t>10-й ОТКРЫТЫЙ НАЦИОНАЛЬНЫЙ КУБОК СВАРОГА IPC/IPC-A/WAA-2023
IPC-A Пауэрлифтинг без экипировки
Курск/Курская область 25 - 26 марта 2023 г.</t>
  </si>
  <si>
    <t>ВЕСОВАЯ КАТЕГОРИЯ   60</t>
  </si>
  <si>
    <t xml:space="preserve">Бороздина Людмила </t>
  </si>
  <si>
    <t xml:space="preserve">1. Бороздина Людмила </t>
  </si>
  <si>
    <t>Открытая (14.09.1984)/38</t>
  </si>
  <si>
    <t>59,50</t>
  </si>
  <si>
    <t>62,5</t>
  </si>
  <si>
    <t>67,5</t>
  </si>
  <si>
    <t>37,5</t>
  </si>
  <si>
    <t>90,0</t>
  </si>
  <si>
    <t xml:space="preserve">Сажина Лариса </t>
  </si>
  <si>
    <t xml:space="preserve">1. Сажина Лариса </t>
  </si>
  <si>
    <t>Ветераны 50 - 54 (27.01.1972)/51</t>
  </si>
  <si>
    <t>73,20</t>
  </si>
  <si>
    <t xml:space="preserve">СПАРТА </t>
  </si>
  <si>
    <t xml:space="preserve">Железногорск/Курская область </t>
  </si>
  <si>
    <t>85,0</t>
  </si>
  <si>
    <t xml:space="preserve">Вислогузов Никита </t>
  </si>
  <si>
    <t xml:space="preserve">1. Вислогузов Никита </t>
  </si>
  <si>
    <t>Саб. мастера 33 - 39 (29.10.1990)/32</t>
  </si>
  <si>
    <t>60,00</t>
  </si>
  <si>
    <t>95,0</t>
  </si>
  <si>
    <t>150,0</t>
  </si>
  <si>
    <t>60</t>
  </si>
  <si>
    <t xml:space="preserve">Ветераны 50 - 54 </t>
  </si>
  <si>
    <t xml:space="preserve">Саб. </t>
  </si>
  <si>
    <t xml:space="preserve">Саб. мастера 33 - 39 </t>
  </si>
  <si>
    <t>Результат</t>
  </si>
  <si>
    <t>10-й ОТКРЫТЫЙ НАЦИОНАЛЬНЫЙ КУБОК СВАРОГА IPC/IPC-A/WAA-2023
IPC Жим лежа в стандартной  софт-экипировке
Курск/Курская область 25 - 26 марта 2023 г.</t>
  </si>
  <si>
    <t xml:space="preserve">Темрезов Таулан </t>
  </si>
  <si>
    <t xml:space="preserve">1. Темрезов Таулан </t>
  </si>
  <si>
    <t>Открытая (15.05.1990)/32</t>
  </si>
  <si>
    <t>66,50</t>
  </si>
  <si>
    <t xml:space="preserve">Ставрополь/Ставропольский край </t>
  </si>
  <si>
    <t>147,5</t>
  </si>
  <si>
    <t>167,5</t>
  </si>
  <si>
    <t xml:space="preserve">Закарян Сурен </t>
  </si>
  <si>
    <t xml:space="preserve">1. Закарян Сурен </t>
  </si>
  <si>
    <t>Открытая (18.06.1995)/27</t>
  </si>
  <si>
    <t>89,70</t>
  </si>
  <si>
    <t xml:space="preserve">Мир Фитнес </t>
  </si>
  <si>
    <t>185,0</t>
  </si>
  <si>
    <t>215,0</t>
  </si>
  <si>
    <t>ВЕСОВАЯ КАТЕГОРИЯ   100</t>
  </si>
  <si>
    <t xml:space="preserve">Анцышкин Сергей </t>
  </si>
  <si>
    <t xml:space="preserve">1. Анцышкин Сергей </t>
  </si>
  <si>
    <t>Открытая (23.02.1990)/33</t>
  </si>
  <si>
    <t>99,60</t>
  </si>
  <si>
    <t>290,0</t>
  </si>
  <si>
    <t>305,0</t>
  </si>
  <si>
    <t xml:space="preserve">Мыльников Михаил </t>
  </si>
  <si>
    <t xml:space="preserve">2. Мыльников Михаил </t>
  </si>
  <si>
    <t>Открытая (22.08.1983)/39</t>
  </si>
  <si>
    <t>98,70</t>
  </si>
  <si>
    <t>270,0</t>
  </si>
  <si>
    <t>285,0</t>
  </si>
  <si>
    <t xml:space="preserve">-. Ищенко Игорь </t>
  </si>
  <si>
    <t>Ветераны 45 - 49 (01.06.1976)/46</t>
  </si>
  <si>
    <t>98,90</t>
  </si>
  <si>
    <t>ВЕСОВАЯ КАТЕГОРИЯ   110</t>
  </si>
  <si>
    <t xml:space="preserve">-. Романенко Сергей </t>
  </si>
  <si>
    <t>Открытая (07.06.1981)/41</t>
  </si>
  <si>
    <t>109,00</t>
  </si>
  <si>
    <t>332,5</t>
  </si>
  <si>
    <t xml:space="preserve">Мирзоян Арсен </t>
  </si>
  <si>
    <t xml:space="preserve">1. Мирзоян Арсен </t>
  </si>
  <si>
    <t>Ветераны 40 - 44 (13.11.1978)/44</t>
  </si>
  <si>
    <t>350,0</t>
  </si>
  <si>
    <t xml:space="preserve">Результат </t>
  </si>
  <si>
    <t>100</t>
  </si>
  <si>
    <t>110</t>
  </si>
  <si>
    <t>10-й ОТКРЫТЫЙ НАЦИОНАЛЬНЫЙ КУБОК СВАРОГА IPC/IPC-A/WAA-2023
IPC-A Жим лежа без экипировки
Курск/Курская область 25 - 26 марта 2023 г.</t>
  </si>
  <si>
    <t>ВЕСОВАЯ КАТЕГОРИЯ   52</t>
  </si>
  <si>
    <t xml:space="preserve">Васюнина Виктория </t>
  </si>
  <si>
    <t xml:space="preserve">1. Васюнина Виктория </t>
  </si>
  <si>
    <t>Девушки 16 - 17 (20.07.2006)/16</t>
  </si>
  <si>
    <t>49,10</t>
  </si>
  <si>
    <t xml:space="preserve">Анцишкин Сергей </t>
  </si>
  <si>
    <t xml:space="preserve">Скобцова Анна </t>
  </si>
  <si>
    <t xml:space="preserve">1. Скобцова Анна </t>
  </si>
  <si>
    <t>Открытая (31.03.1996)/26</t>
  </si>
  <si>
    <t>58,60</t>
  </si>
  <si>
    <t>55,0</t>
  </si>
  <si>
    <t>57,5</t>
  </si>
  <si>
    <t xml:space="preserve">Вартанов Максим </t>
  </si>
  <si>
    <t xml:space="preserve">1. Вартанов Максим </t>
  </si>
  <si>
    <t>Открытая (17.02.1998)/25</t>
  </si>
  <si>
    <t>67,20</t>
  </si>
  <si>
    <t>117,5</t>
  </si>
  <si>
    <t>125,0</t>
  </si>
  <si>
    <t xml:space="preserve">Шведов Артем </t>
  </si>
  <si>
    <t xml:space="preserve">1. Шведов Артем </t>
  </si>
  <si>
    <t>Юноши 13 - 15 (15.04.2008)/14</t>
  </si>
  <si>
    <t>73,40</t>
  </si>
  <si>
    <t xml:space="preserve">Локтионов Александр </t>
  </si>
  <si>
    <t xml:space="preserve">Гончар-Быш Сергей </t>
  </si>
  <si>
    <t xml:space="preserve">1. Гончар-Быш Сергей </t>
  </si>
  <si>
    <t>Открытая (22.09.1986)/36</t>
  </si>
  <si>
    <t>73,60</t>
  </si>
  <si>
    <t xml:space="preserve">Рыльск/Курская область </t>
  </si>
  <si>
    <t xml:space="preserve">Лешков Юрий </t>
  </si>
  <si>
    <t xml:space="preserve">1. Лешков Юрий </t>
  </si>
  <si>
    <t>Юноши 13 - 15 (16.06.2009)/13</t>
  </si>
  <si>
    <t>86,80</t>
  </si>
  <si>
    <t xml:space="preserve">Воронеж/Воронежская область </t>
  </si>
  <si>
    <t>60,0</t>
  </si>
  <si>
    <t xml:space="preserve">Беляев Дмитрий </t>
  </si>
  <si>
    <t xml:space="preserve">1. Беляев Дмитрий </t>
  </si>
  <si>
    <t>Ветераны 40 - 44 (20.02.1983)/40</t>
  </si>
  <si>
    <t>107,80</t>
  </si>
  <si>
    <t>52</t>
  </si>
  <si>
    <t>10-й ОТКРЫТЫЙ НАЦИОНАЛЬНЫЙ КУБОК СВАРОГА IPC/IPC-A/WAA-2023
IPC-A Жим лежа в стандартной  софт-экипировке
Курск/Курская область 25 - 26 марта 2023 г.</t>
  </si>
  <si>
    <t xml:space="preserve">Умеренкова Юлия </t>
  </si>
  <si>
    <t xml:space="preserve">1. Умеренкова Юлия </t>
  </si>
  <si>
    <t>Открытая (09.12.1980)/42</t>
  </si>
  <si>
    <t>77,50</t>
  </si>
  <si>
    <t>132,5</t>
  </si>
  <si>
    <t xml:space="preserve">Умеренков  И.Ю. </t>
  </si>
  <si>
    <t>Ветераны 40 - 44 (09.12.1980)/42</t>
  </si>
  <si>
    <t xml:space="preserve">Федяев Денис </t>
  </si>
  <si>
    <t xml:space="preserve">1. Федяев Денис </t>
  </si>
  <si>
    <t>Открытая (02.09.1991)/31</t>
  </si>
  <si>
    <t>81,00</t>
  </si>
  <si>
    <t>175,0</t>
  </si>
  <si>
    <t xml:space="preserve">Тоцкий Анатолий </t>
  </si>
  <si>
    <t xml:space="preserve">1. Тоцкий Анатолий </t>
  </si>
  <si>
    <t>Ветераны 45 - 49 (12.02.1974)/49</t>
  </si>
  <si>
    <t>98,30</t>
  </si>
  <si>
    <t>267,5</t>
  </si>
  <si>
    <t>82.5</t>
  </si>
  <si>
    <t xml:space="preserve">Ветераны 45 - 49 </t>
  </si>
  <si>
    <t>10-й ОТКРЫТЫЙ НАЦИОНАЛЬНЫЙ КУБОК СВАРОГА IPC/IPC-A/WAA-2023
IPC Становая тяга без экипировки
Курск/Курская область 25 - 26 марта 2023 г.</t>
  </si>
  <si>
    <t xml:space="preserve">Дятлова Светлана </t>
  </si>
  <si>
    <t xml:space="preserve">1. Дятлова Светлана </t>
  </si>
  <si>
    <t>Открытая (09.12.1981)/41</t>
  </si>
  <si>
    <t>57,40</t>
  </si>
  <si>
    <t xml:space="preserve">Локтионова Илия </t>
  </si>
  <si>
    <t xml:space="preserve">Муравьев Александр </t>
  </si>
  <si>
    <t xml:space="preserve">1. Муравьев Александр </t>
  </si>
  <si>
    <t>Открытая (19.08.1988)/34</t>
  </si>
  <si>
    <t>81,30</t>
  </si>
  <si>
    <t xml:space="preserve">WestGum </t>
  </si>
  <si>
    <t>220,0</t>
  </si>
  <si>
    <t>232,5</t>
  </si>
  <si>
    <t>235,0</t>
  </si>
  <si>
    <t xml:space="preserve">Лындин Иван </t>
  </si>
  <si>
    <t xml:space="preserve">1. Лындин Иван </t>
  </si>
  <si>
    <t>Открытая (04.01.1993)/30</t>
  </si>
  <si>
    <t>97,00</t>
  </si>
  <si>
    <t>10-й ОТКРЫТЫЙ НАЦИОНАЛЬНЫЙ КУБОК СВАРОГА IPC/IPC-A/WAA-2023
IPC Строгий подъем на бицепс
Курск/Курская область 25 - 26 марта 2023 г.</t>
  </si>
  <si>
    <t>Подъем на бицепс</t>
  </si>
  <si>
    <t xml:space="preserve">-. Азизов Мубариз </t>
  </si>
  <si>
    <t>Открытая (01.07.1998)/24</t>
  </si>
  <si>
    <t>90,00</t>
  </si>
  <si>
    <t>65,0</t>
  </si>
  <si>
    <t xml:space="preserve">Трубчанинов Филипп </t>
  </si>
  <si>
    <t xml:space="preserve">1. Трубчанинов Филипп </t>
  </si>
  <si>
    <t>Юниоры 20 - 23 (03.04.2002)/20</t>
  </si>
  <si>
    <t>98,60</t>
  </si>
  <si>
    <t>70,0</t>
  </si>
  <si>
    <t>75,0</t>
  </si>
  <si>
    <t xml:space="preserve">Юниоры </t>
  </si>
  <si>
    <t xml:space="preserve">Юниоры 20 - 23 </t>
  </si>
  <si>
    <t>10-й ОТКРЫТЫЙ НАЦИОНАЛЬНЫЙ КУБОК СВАРОГА IPC/IPC-A/WAA-2023
IPC-A Становая тяга без экипировки
Курск/Курская область 25 - 26 марта 2023 г.</t>
  </si>
  <si>
    <t xml:space="preserve">Макарова Диана </t>
  </si>
  <si>
    <t xml:space="preserve">1. Макарова Диана </t>
  </si>
  <si>
    <t>Девушки 16 - 17 (23.07.2005)/17</t>
  </si>
  <si>
    <t>77,90</t>
  </si>
  <si>
    <t xml:space="preserve">. </t>
  </si>
  <si>
    <t xml:space="preserve">Бороздина Кристина </t>
  </si>
  <si>
    <t xml:space="preserve">2. Бороздина Кристина </t>
  </si>
  <si>
    <t>Девушки 16 - 17 (05.01.2006)/17</t>
  </si>
  <si>
    <t>81,90</t>
  </si>
  <si>
    <t>80,0</t>
  </si>
  <si>
    <t xml:space="preserve">Анцышкина Татьяна </t>
  </si>
  <si>
    <t xml:space="preserve">1. Анцышкина Татьяна </t>
  </si>
  <si>
    <t>Открытая (22.11.1988)/34</t>
  </si>
  <si>
    <t>142,5</t>
  </si>
  <si>
    <t>152,5</t>
  </si>
  <si>
    <t>155,0</t>
  </si>
  <si>
    <t xml:space="preserve">Копцев Никита </t>
  </si>
  <si>
    <t xml:space="preserve">1. Копцев Никита </t>
  </si>
  <si>
    <t>Юноши 16 - 17 (26.12.2005)/17</t>
  </si>
  <si>
    <t>72,30</t>
  </si>
  <si>
    <t>122,5</t>
  </si>
  <si>
    <t xml:space="preserve">Касмынин Евгений </t>
  </si>
  <si>
    <t xml:space="preserve">2. Касмынин Евгений </t>
  </si>
  <si>
    <t>Юноши 16 - 17 (19.01.2007)/16</t>
  </si>
  <si>
    <t>74,50</t>
  </si>
  <si>
    <t>135,0</t>
  </si>
  <si>
    <t xml:space="preserve">Харитонов Виталий </t>
  </si>
  <si>
    <t xml:space="preserve">1. Харитонов Виталий </t>
  </si>
  <si>
    <t>Открытая (25.11.1988)/34</t>
  </si>
  <si>
    <t>72,50</t>
  </si>
  <si>
    <t>165,0</t>
  </si>
  <si>
    <t>177,5</t>
  </si>
  <si>
    <t>180,0</t>
  </si>
  <si>
    <t xml:space="preserve">Береговский Дмитрий </t>
  </si>
  <si>
    <t xml:space="preserve">2. Береговский Дмитрий </t>
  </si>
  <si>
    <t>Открытая (10.04.1996)/26</t>
  </si>
  <si>
    <t xml:space="preserve">Сидорчук Александр </t>
  </si>
  <si>
    <t xml:space="preserve">1. Сидорчук Александр </t>
  </si>
  <si>
    <t>Ветераны 55 - 59 (02.02.1967)/56</t>
  </si>
  <si>
    <t>84,90</t>
  </si>
  <si>
    <t xml:space="preserve">Сидорчук Андрей </t>
  </si>
  <si>
    <t xml:space="preserve">1. Сидорчук Андрей </t>
  </si>
  <si>
    <t>Юниоры 20 - 23 (27.06.1999)/23</t>
  </si>
  <si>
    <t xml:space="preserve">Ветераны 55 - 59 </t>
  </si>
  <si>
    <t>10-й ОТКРЫТЫЙ НАЦИОНАЛЬНЫЙ КУБОК СВАРОГА IPC/IPC-A/WAA-2023
IPC-A Строгий подъем на бицепс
Курск/Курская область 25 - 26 марта 2023 г.</t>
  </si>
  <si>
    <t>35,0</t>
  </si>
  <si>
    <t xml:space="preserve">1. Касмынин Евгений </t>
  </si>
  <si>
    <t xml:space="preserve">1. Лукьянчиков Даниил </t>
  </si>
  <si>
    <t xml:space="preserve">Юноши 18 - 19 </t>
  </si>
  <si>
    <t>10-й ОТКРЫТЫЙ НАЦИОНАЛЬНЫЙ КУБОК СВАРОГА IPC/IPC-A/WAA-2023
IPС-A Силовое двоеборье без экипировки
Курск/Курская область 25 - 26 марта 2023 г.</t>
  </si>
  <si>
    <t xml:space="preserve">Савин Максим </t>
  </si>
  <si>
    <t xml:space="preserve">1. Савин Максим </t>
  </si>
  <si>
    <t>Юноши 13 - 15 (27.12.2007)/15</t>
  </si>
  <si>
    <t>82,50</t>
  </si>
  <si>
    <t>127,5</t>
  </si>
  <si>
    <t>137,5</t>
  </si>
  <si>
    <t>10-й ОТКРЫТЫЙ НАЦИОНАЛЬНЫЙ КУБОК СВАРОГА IPC/IPC-A/WAA-2023
тяга «HUB»
Курск/Курская область 25 - 26 марта 2023 г.</t>
  </si>
  <si>
    <t>Wilks</t>
  </si>
  <si>
    <t>Тяга</t>
  </si>
  <si>
    <t>ВЕСОВАЯ КАТЕГОРИЯ   70</t>
  </si>
  <si>
    <t xml:space="preserve">1. Енина Елена </t>
  </si>
  <si>
    <t>Открытая (10.05.1989)/33</t>
  </si>
  <si>
    <t>63,00</t>
  </si>
  <si>
    <t>5,0</t>
  </si>
  <si>
    <t>7,5</t>
  </si>
  <si>
    <t>10,0</t>
  </si>
  <si>
    <t xml:space="preserve">Умеренков Даниил </t>
  </si>
  <si>
    <t xml:space="preserve">1. Умеренков Даниил </t>
  </si>
  <si>
    <t>Юниоры (01.03.2004)/19</t>
  </si>
  <si>
    <t>85,60</t>
  </si>
  <si>
    <t>15,0</t>
  </si>
  <si>
    <t>17,5</t>
  </si>
  <si>
    <t>20,0</t>
  </si>
  <si>
    <t xml:space="preserve">Wilks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</si>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</sst>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53" t="s">
        <v>317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318</v>
      </c>
      <c r="E3" s="63" t="s">
        <v>4</v>
      </c>
      <c r="F3" s="63" t="s">
        <v>7</v>
      </c>
      <c r="G3" s="63" t="s">
        <v>319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320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11" t="s">
        <v>321</v>
      </c>
      <c r="B6" s="11" t="s">
        <v>322</v>
      </c>
      <c r="C6" s="11" t="s">
        <v>323</v>
      </c>
      <c r="D6" s="12" t="str">
        <f>"1,0740"</f>
        <v>1,0740</v>
      </c>
      <c r="E6" s="11" t="s">
        <v>52</v>
      </c>
      <c r="F6" s="11" t="s">
        <v>20</v>
      </c>
      <c r="G6" s="13" t="s">
        <v>324</v>
      </c>
      <c r="H6" s="13" t="s">
        <v>325</v>
      </c>
      <c r="I6" s="13" t="s">
        <v>326</v>
      </c>
      <c r="J6" s="14"/>
      <c r="K6" s="15" t="str">
        <f>"10,00"</f>
        <v>10,00</v>
      </c>
      <c r="L6" s="16" t="str">
        <f>"10,7400"</f>
        <v>10,7400</v>
      </c>
      <c r="M6" s="11" t="s">
        <v>30</v>
      </c>
    </row>
    <row r="8" spans="1:13" ht="15.6" x14ac:dyDescent="0.3">
      <c r="A8" s="45" t="s">
        <v>14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5">
      <c r="A9" s="11" t="s">
        <v>328</v>
      </c>
      <c r="B9" s="11" t="s">
        <v>329</v>
      </c>
      <c r="C9" s="11" t="s">
        <v>330</v>
      </c>
      <c r="D9" s="12" t="str">
        <f>"0,6557"</f>
        <v>0,6557</v>
      </c>
      <c r="E9" s="11" t="s">
        <v>87</v>
      </c>
      <c r="F9" s="11" t="s">
        <v>20</v>
      </c>
      <c r="G9" s="13" t="s">
        <v>326</v>
      </c>
      <c r="H9" s="13" t="s">
        <v>331</v>
      </c>
      <c r="I9" s="13" t="s">
        <v>332</v>
      </c>
      <c r="J9" s="14" t="s">
        <v>333</v>
      </c>
      <c r="K9" s="15" t="str">
        <f>"17,50"</f>
        <v>17,50</v>
      </c>
      <c r="L9" s="16" t="str">
        <f>"11,4748"</f>
        <v>11,4748</v>
      </c>
      <c r="M9" s="11" t="s">
        <v>30</v>
      </c>
    </row>
    <row r="11" spans="1:13" ht="15" x14ac:dyDescent="0.25">
      <c r="E11" s="17" t="s">
        <v>31</v>
      </c>
    </row>
    <row r="12" spans="1:13" ht="15" x14ac:dyDescent="0.25">
      <c r="E12" s="17" t="s">
        <v>32</v>
      </c>
    </row>
    <row r="13" spans="1:13" ht="15" x14ac:dyDescent="0.25">
      <c r="E13" s="17" t="s">
        <v>33</v>
      </c>
    </row>
    <row r="14" spans="1:13" ht="15" x14ac:dyDescent="0.25">
      <c r="E14" s="17" t="s">
        <v>34</v>
      </c>
    </row>
    <row r="15" spans="1:13" ht="15" x14ac:dyDescent="0.25">
      <c r="E15" s="17" t="s">
        <v>34</v>
      </c>
    </row>
    <row r="16" spans="1:13" ht="15" x14ac:dyDescent="0.25">
      <c r="E16" s="17" t="s">
        <v>35</v>
      </c>
    </row>
    <row r="17" spans="1:5" ht="15" x14ac:dyDescent="0.25">
      <c r="E17" s="17"/>
    </row>
    <row r="19" spans="1:5" ht="17.399999999999999" x14ac:dyDescent="0.3">
      <c r="A19" s="18" t="s">
        <v>36</v>
      </c>
      <c r="B19" s="18"/>
    </row>
    <row r="20" spans="1:5" ht="15.6" x14ac:dyDescent="0.3">
      <c r="A20" s="19" t="s">
        <v>89</v>
      </c>
      <c r="B20" s="19"/>
    </row>
    <row r="21" spans="1:5" ht="14.4" x14ac:dyDescent="0.3">
      <c r="A21" s="21"/>
      <c r="B21" s="22" t="s">
        <v>93</v>
      </c>
    </row>
    <row r="22" spans="1:5" ht="13.8" x14ac:dyDescent="0.25">
      <c r="A22" s="23" t="s">
        <v>39</v>
      </c>
      <c r="B22" s="23" t="s">
        <v>40</v>
      </c>
      <c r="C22" s="23" t="s">
        <v>41</v>
      </c>
      <c r="D22" s="24" t="s">
        <v>165</v>
      </c>
      <c r="E22" s="23" t="s">
        <v>334</v>
      </c>
    </row>
    <row r="23" spans="1:5" x14ac:dyDescent="0.25">
      <c r="A23" s="20" t="s">
        <v>61</v>
      </c>
      <c r="B23" s="4" t="s">
        <v>93</v>
      </c>
      <c r="C23" s="4" t="s">
        <v>335</v>
      </c>
      <c r="D23" s="25">
        <v>10</v>
      </c>
      <c r="E23" s="26">
        <v>10.740000009536701</v>
      </c>
    </row>
    <row r="26" spans="1:5" ht="15.6" x14ac:dyDescent="0.3">
      <c r="A26" s="19" t="s">
        <v>37</v>
      </c>
      <c r="B26" s="19"/>
    </row>
    <row r="27" spans="1:5" ht="14.4" x14ac:dyDescent="0.3">
      <c r="A27" s="21"/>
      <c r="B27" s="22" t="s">
        <v>258</v>
      </c>
    </row>
    <row r="28" spans="1:5" ht="13.8" x14ac:dyDescent="0.25">
      <c r="A28" s="23" t="s">
        <v>39</v>
      </c>
      <c r="B28" s="23" t="s">
        <v>40</v>
      </c>
      <c r="C28" s="23" t="s">
        <v>41</v>
      </c>
      <c r="D28" s="24" t="s">
        <v>165</v>
      </c>
      <c r="E28" s="23" t="s">
        <v>334</v>
      </c>
    </row>
    <row r="29" spans="1:5" x14ac:dyDescent="0.25">
      <c r="A29" s="20" t="s">
        <v>327</v>
      </c>
      <c r="B29" s="4" t="s">
        <v>258</v>
      </c>
      <c r="C29" s="4" t="s">
        <v>45</v>
      </c>
      <c r="D29" s="25">
        <v>17.5</v>
      </c>
      <c r="E29" s="26">
        <v>11.4747504889965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" style="4" bestFit="1" customWidth="1"/>
    <col min="3" max="3" width="14.88671875" style="4" bestFit="1" customWidth="1"/>
    <col min="4" max="4" width="8.21875" style="5" bestFit="1" customWidth="1"/>
    <col min="5" max="6" width="21.77734375" style="4" bestFit="1" customWidth="1"/>
    <col min="7" max="9" width="5.5546875" style="3" customWidth="1"/>
    <col min="10" max="10" width="4.5546875" style="3" customWidth="1"/>
    <col min="11" max="11" width="5.5546875" style="3" customWidth="1"/>
    <col min="12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12.6640625" style="4" bestFit="1" customWidth="1"/>
    <col min="22" max="16384" width="9.109375" style="3"/>
  </cols>
  <sheetData>
    <row r="1" spans="1:21" s="2" customFormat="1" ht="28.95" customHeight="1" x14ac:dyDescent="0.25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11</v>
      </c>
      <c r="H3" s="63"/>
      <c r="I3" s="63"/>
      <c r="J3" s="63"/>
      <c r="K3" s="63" t="s">
        <v>12</v>
      </c>
      <c r="L3" s="63"/>
      <c r="M3" s="63"/>
      <c r="N3" s="63"/>
      <c r="O3" s="63" t="s">
        <v>13</v>
      </c>
      <c r="P3" s="63"/>
      <c r="Q3" s="63"/>
      <c r="R3" s="63"/>
      <c r="S3" s="47" t="s">
        <v>1</v>
      </c>
      <c r="T3" s="47" t="s">
        <v>3</v>
      </c>
      <c r="U3" s="49" t="s">
        <v>2</v>
      </c>
    </row>
    <row r="4" spans="1:21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0"/>
    </row>
    <row r="5" spans="1:21" ht="15.6" x14ac:dyDescent="0.3">
      <c r="A5" s="51" t="s">
        <v>47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 x14ac:dyDescent="0.25">
      <c r="A6" s="11" t="s">
        <v>49</v>
      </c>
      <c r="B6" s="11" t="s">
        <v>50</v>
      </c>
      <c r="C6" s="11" t="s">
        <v>51</v>
      </c>
      <c r="D6" s="12" t="str">
        <f>"0,9266"</f>
        <v>0,9266</v>
      </c>
      <c r="E6" s="11" t="s">
        <v>52</v>
      </c>
      <c r="F6" s="11" t="s">
        <v>20</v>
      </c>
      <c r="G6" s="14" t="s">
        <v>53</v>
      </c>
      <c r="H6" s="13" t="s">
        <v>53</v>
      </c>
      <c r="I6" s="14" t="s">
        <v>54</v>
      </c>
      <c r="J6" s="14"/>
      <c r="K6" s="13" t="s">
        <v>55</v>
      </c>
      <c r="L6" s="13" t="s">
        <v>56</v>
      </c>
      <c r="M6" s="13" t="s">
        <v>57</v>
      </c>
      <c r="N6" s="14"/>
      <c r="O6" s="13" t="s">
        <v>58</v>
      </c>
      <c r="P6" s="13" t="s">
        <v>59</v>
      </c>
      <c r="Q6" s="14" t="s">
        <v>60</v>
      </c>
      <c r="R6" s="14"/>
      <c r="S6" s="15" t="str">
        <f>"252,5"</f>
        <v>252,5</v>
      </c>
      <c r="T6" s="16" t="str">
        <f>"233,9791"</f>
        <v>233,9791</v>
      </c>
      <c r="U6" s="11" t="s">
        <v>61</v>
      </c>
    </row>
    <row r="8" spans="1:21" ht="15.6" x14ac:dyDescent="0.3">
      <c r="A8" s="45" t="s">
        <v>62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 x14ac:dyDescent="0.25">
      <c r="A9" s="11" t="s">
        <v>64</v>
      </c>
      <c r="B9" s="11" t="s">
        <v>65</v>
      </c>
      <c r="C9" s="11" t="s">
        <v>66</v>
      </c>
      <c r="D9" s="12" t="str">
        <f>"0,8712"</f>
        <v>0,8712</v>
      </c>
      <c r="E9" s="11" t="s">
        <v>19</v>
      </c>
      <c r="F9" s="11" t="s">
        <v>20</v>
      </c>
      <c r="G9" s="13" t="s">
        <v>54</v>
      </c>
      <c r="H9" s="13" t="s">
        <v>67</v>
      </c>
      <c r="I9" s="13" t="s">
        <v>58</v>
      </c>
      <c r="J9" s="14"/>
      <c r="K9" s="13" t="s">
        <v>57</v>
      </c>
      <c r="L9" s="13" t="s">
        <v>68</v>
      </c>
      <c r="M9" s="13" t="s">
        <v>69</v>
      </c>
      <c r="N9" s="14"/>
      <c r="O9" s="13" t="s">
        <v>70</v>
      </c>
      <c r="P9" s="13" t="s">
        <v>71</v>
      </c>
      <c r="Q9" s="14" t="s">
        <v>59</v>
      </c>
      <c r="R9" s="14"/>
      <c r="S9" s="15" t="str">
        <f>"267,5"</f>
        <v>267,5</v>
      </c>
      <c r="T9" s="16" t="str">
        <f>"233,0594"</f>
        <v>233,0594</v>
      </c>
      <c r="U9" s="11" t="s">
        <v>61</v>
      </c>
    </row>
    <row r="11" spans="1:21" ht="15.6" x14ac:dyDescent="0.3">
      <c r="A11" s="45" t="s">
        <v>47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 x14ac:dyDescent="0.25">
      <c r="A12" s="11" t="s">
        <v>73</v>
      </c>
      <c r="B12" s="11" t="s">
        <v>74</v>
      </c>
      <c r="C12" s="11" t="s">
        <v>75</v>
      </c>
      <c r="D12" s="12" t="str">
        <f>"0,7503"</f>
        <v>0,7503</v>
      </c>
      <c r="E12" s="11" t="s">
        <v>19</v>
      </c>
      <c r="F12" s="11" t="s">
        <v>20</v>
      </c>
      <c r="G12" s="13" t="s">
        <v>76</v>
      </c>
      <c r="H12" s="13" t="s">
        <v>77</v>
      </c>
      <c r="I12" s="13" t="s">
        <v>78</v>
      </c>
      <c r="J12" s="14"/>
      <c r="K12" s="13" t="s">
        <v>57</v>
      </c>
      <c r="L12" s="13" t="s">
        <v>69</v>
      </c>
      <c r="M12" s="14" t="s">
        <v>79</v>
      </c>
      <c r="N12" s="14"/>
      <c r="O12" s="13" t="s">
        <v>80</v>
      </c>
      <c r="P12" s="13" t="s">
        <v>70</v>
      </c>
      <c r="Q12" s="13" t="s">
        <v>81</v>
      </c>
      <c r="R12" s="14"/>
      <c r="S12" s="15" t="str">
        <f>"237,5"</f>
        <v>237,5</v>
      </c>
      <c r="T12" s="16" t="str">
        <f>"178,2081"</f>
        <v>178,2081</v>
      </c>
      <c r="U12" s="11" t="s">
        <v>61</v>
      </c>
    </row>
    <row r="14" spans="1:21" ht="15.6" x14ac:dyDescent="0.3">
      <c r="A14" s="45" t="s">
        <v>82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1" x14ac:dyDescent="0.25">
      <c r="A15" s="11" t="s">
        <v>84</v>
      </c>
      <c r="B15" s="11" t="s">
        <v>85</v>
      </c>
      <c r="C15" s="11" t="s">
        <v>86</v>
      </c>
      <c r="D15" s="12" t="str">
        <f>"0,6589"</f>
        <v>0,6589</v>
      </c>
      <c r="E15" s="11" t="s">
        <v>87</v>
      </c>
      <c r="F15" s="11" t="s">
        <v>20</v>
      </c>
      <c r="G15" s="14" t="s">
        <v>88</v>
      </c>
      <c r="H15" s="14" t="s">
        <v>88</v>
      </c>
      <c r="I15" s="14" t="s">
        <v>88</v>
      </c>
      <c r="J15" s="14"/>
      <c r="K15" s="14" t="s">
        <v>71</v>
      </c>
      <c r="L15" s="14"/>
      <c r="M15" s="14"/>
      <c r="N15" s="14"/>
      <c r="O15" s="14" t="s">
        <v>88</v>
      </c>
      <c r="P15" s="14"/>
      <c r="Q15" s="14"/>
      <c r="R15" s="14"/>
      <c r="S15" s="15" t="str">
        <f>"0.00"</f>
        <v>0.00</v>
      </c>
      <c r="T15" s="16" t="str">
        <f>"0,0000"</f>
        <v>0,0000</v>
      </c>
      <c r="U15" s="11" t="s">
        <v>30</v>
      </c>
    </row>
    <row r="17" spans="1:5" ht="15" x14ac:dyDescent="0.25">
      <c r="E17" s="17" t="s">
        <v>31</v>
      </c>
    </row>
    <row r="18" spans="1:5" ht="15" x14ac:dyDescent="0.25">
      <c r="E18" s="17" t="s">
        <v>32</v>
      </c>
    </row>
    <row r="19" spans="1:5" ht="15" x14ac:dyDescent="0.25">
      <c r="E19" s="17" t="s">
        <v>33</v>
      </c>
    </row>
    <row r="20" spans="1:5" ht="15" x14ac:dyDescent="0.25">
      <c r="E20" s="17" t="s">
        <v>34</v>
      </c>
    </row>
    <row r="21" spans="1:5" ht="15" x14ac:dyDescent="0.25">
      <c r="E21" s="17" t="s">
        <v>34</v>
      </c>
    </row>
    <row r="22" spans="1:5" ht="15" x14ac:dyDescent="0.25">
      <c r="E22" s="17" t="s">
        <v>35</v>
      </c>
    </row>
    <row r="23" spans="1:5" ht="15" x14ac:dyDescent="0.25">
      <c r="E23" s="17"/>
    </row>
    <row r="25" spans="1:5" ht="17.399999999999999" x14ac:dyDescent="0.3">
      <c r="A25" s="18" t="s">
        <v>36</v>
      </c>
      <c r="B25" s="18"/>
    </row>
    <row r="26" spans="1:5" ht="15.6" x14ac:dyDescent="0.3">
      <c r="A26" s="19" t="s">
        <v>89</v>
      </c>
      <c r="B26" s="19"/>
    </row>
    <row r="27" spans="1:5" ht="14.4" x14ac:dyDescent="0.3">
      <c r="A27" s="21"/>
      <c r="B27" s="22" t="s">
        <v>90</v>
      </c>
    </row>
    <row r="28" spans="1:5" ht="13.8" x14ac:dyDescent="0.25">
      <c r="A28" s="23" t="s">
        <v>39</v>
      </c>
      <c r="B28" s="23" t="s">
        <v>40</v>
      </c>
      <c r="C28" s="23" t="s">
        <v>41</v>
      </c>
      <c r="D28" s="24" t="s">
        <v>42</v>
      </c>
      <c r="E28" s="23" t="s">
        <v>43</v>
      </c>
    </row>
    <row r="29" spans="1:5" x14ac:dyDescent="0.25">
      <c r="A29" s="20" t="s">
        <v>48</v>
      </c>
      <c r="B29" s="4" t="s">
        <v>91</v>
      </c>
      <c r="C29" s="4" t="s">
        <v>92</v>
      </c>
      <c r="D29" s="25">
        <v>252.5</v>
      </c>
      <c r="E29" s="26">
        <v>233.97912189364399</v>
      </c>
    </row>
    <row r="31" spans="1:5" ht="14.4" x14ac:dyDescent="0.3">
      <c r="A31" s="21"/>
      <c r="B31" s="22" t="s">
        <v>93</v>
      </c>
    </row>
    <row r="32" spans="1:5" ht="13.8" x14ac:dyDescent="0.25">
      <c r="A32" s="23" t="s">
        <v>39</v>
      </c>
      <c r="B32" s="23" t="s">
        <v>40</v>
      </c>
      <c r="C32" s="23" t="s">
        <v>41</v>
      </c>
      <c r="D32" s="24" t="s">
        <v>42</v>
      </c>
      <c r="E32" s="23" t="s">
        <v>43</v>
      </c>
    </row>
    <row r="33" spans="1:5" x14ac:dyDescent="0.25">
      <c r="A33" s="20" t="s">
        <v>63</v>
      </c>
      <c r="B33" s="4" t="s">
        <v>93</v>
      </c>
      <c r="C33" s="4" t="s">
        <v>94</v>
      </c>
      <c r="D33" s="25">
        <v>267.5</v>
      </c>
      <c r="E33" s="26">
        <v>233.059367984533</v>
      </c>
    </row>
    <row r="36" spans="1:5" ht="15.6" x14ac:dyDescent="0.3">
      <c r="A36" s="19" t="s">
        <v>37</v>
      </c>
      <c r="B36" s="19"/>
    </row>
    <row r="37" spans="1:5" ht="14.4" x14ac:dyDescent="0.3">
      <c r="A37" s="21"/>
      <c r="B37" s="22" t="s">
        <v>95</v>
      </c>
    </row>
    <row r="38" spans="1:5" ht="13.8" x14ac:dyDescent="0.25">
      <c r="A38" s="23" t="s">
        <v>39</v>
      </c>
      <c r="B38" s="23" t="s">
        <v>40</v>
      </c>
      <c r="C38" s="23" t="s">
        <v>41</v>
      </c>
      <c r="D38" s="24" t="s">
        <v>42</v>
      </c>
      <c r="E38" s="23" t="s">
        <v>43</v>
      </c>
    </row>
    <row r="39" spans="1:5" x14ac:dyDescent="0.25">
      <c r="A39" s="20" t="s">
        <v>72</v>
      </c>
      <c r="B39" s="4" t="s">
        <v>96</v>
      </c>
      <c r="C39" s="4" t="s">
        <v>92</v>
      </c>
      <c r="D39" s="25">
        <v>237.5</v>
      </c>
      <c r="E39" s="26">
        <v>178.20812463760399</v>
      </c>
    </row>
  </sheetData>
  <mergeCells count="17"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A14:R14"/>
    <mergeCell ref="S3:S4"/>
    <mergeCell ref="T3:T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20"/>
  <sheetViews>
    <sheetView workbookViewId="0">
      <selection activeCell="C18" sqref="C18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8.21875" style="5" bestFit="1" customWidth="1"/>
    <col min="5" max="6" width="21.777343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53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11</v>
      </c>
      <c r="H3" s="63"/>
      <c r="I3" s="63"/>
      <c r="J3" s="63"/>
      <c r="K3" s="63" t="s">
        <v>12</v>
      </c>
      <c r="L3" s="63"/>
      <c r="M3" s="63"/>
      <c r="N3" s="63"/>
      <c r="O3" s="63" t="s">
        <v>13</v>
      </c>
      <c r="P3" s="63"/>
      <c r="Q3" s="63"/>
      <c r="R3" s="63"/>
      <c r="S3" s="47" t="s">
        <v>1</v>
      </c>
      <c r="T3" s="47" t="s">
        <v>3</v>
      </c>
      <c r="U3" s="49" t="s">
        <v>2</v>
      </c>
    </row>
    <row r="4" spans="1:21" s="1" customFormat="1" ht="21" customHeight="1" thickBot="1" x14ac:dyDescent="0.3">
      <c r="A4" s="60"/>
      <c r="B4" s="62"/>
      <c r="C4" s="62"/>
      <c r="D4" s="48"/>
      <c r="E4" s="62"/>
      <c r="F4" s="62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48"/>
      <c r="T4" s="48"/>
      <c r="U4" s="50"/>
    </row>
    <row r="5" spans="1:21" ht="15.6" x14ac:dyDescent="0.3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 x14ac:dyDescent="0.25">
      <c r="A6" s="11" t="s">
        <v>16</v>
      </c>
      <c r="B6" s="11" t="s">
        <v>17</v>
      </c>
      <c r="C6" s="11" t="s">
        <v>18</v>
      </c>
      <c r="D6" s="12" t="str">
        <f>"0,6141"</f>
        <v>0,6141</v>
      </c>
      <c r="E6" s="11" t="s">
        <v>19</v>
      </c>
      <c r="F6" s="11" t="s">
        <v>20</v>
      </c>
      <c r="G6" s="13" t="s">
        <v>21</v>
      </c>
      <c r="H6" s="13" t="s">
        <v>22</v>
      </c>
      <c r="I6" s="13" t="s">
        <v>23</v>
      </c>
      <c r="J6" s="14"/>
      <c r="K6" s="13" t="s">
        <v>24</v>
      </c>
      <c r="L6" s="13" t="s">
        <v>25</v>
      </c>
      <c r="M6" s="13" t="s">
        <v>26</v>
      </c>
      <c r="N6" s="14"/>
      <c r="O6" s="13" t="s">
        <v>27</v>
      </c>
      <c r="P6" s="13" t="s">
        <v>28</v>
      </c>
      <c r="Q6" s="14" t="s">
        <v>29</v>
      </c>
      <c r="R6" s="14"/>
      <c r="S6" s="15" t="str">
        <f>"605,0"</f>
        <v>605,0</v>
      </c>
      <c r="T6" s="16" t="str">
        <f>"375,2763"</f>
        <v>375,2763</v>
      </c>
      <c r="U6" s="11" t="s">
        <v>30</v>
      </c>
    </row>
    <row r="8" spans="1:21" ht="15" x14ac:dyDescent="0.25">
      <c r="E8" s="17" t="s">
        <v>31</v>
      </c>
    </row>
    <row r="9" spans="1:21" ht="15" x14ac:dyDescent="0.25">
      <c r="E9" s="17" t="s">
        <v>32</v>
      </c>
    </row>
    <row r="10" spans="1:21" ht="15" x14ac:dyDescent="0.25">
      <c r="E10" s="17" t="s">
        <v>33</v>
      </c>
    </row>
    <row r="11" spans="1:21" ht="15" x14ac:dyDescent="0.25">
      <c r="E11" s="17" t="s">
        <v>34</v>
      </c>
    </row>
    <row r="12" spans="1:21" ht="15" x14ac:dyDescent="0.25">
      <c r="E12" s="17" t="s">
        <v>34</v>
      </c>
    </row>
    <row r="13" spans="1:21" ht="15" x14ac:dyDescent="0.25">
      <c r="E13" s="17" t="s">
        <v>35</v>
      </c>
    </row>
    <row r="14" spans="1:21" ht="15" x14ac:dyDescent="0.25">
      <c r="E14" s="17"/>
    </row>
    <row r="16" spans="1:21" ht="17.399999999999999" x14ac:dyDescent="0.3">
      <c r="A16" s="18" t="s">
        <v>36</v>
      </c>
      <c r="B16" s="18"/>
    </row>
    <row r="17" spans="1:5" ht="15.6" x14ac:dyDescent="0.3">
      <c r="A17" s="19" t="s">
        <v>37</v>
      </c>
      <c r="B17" s="19"/>
    </row>
    <row r="18" spans="1:5" ht="14.4" x14ac:dyDescent="0.3">
      <c r="A18" s="21"/>
      <c r="B18" s="22" t="s">
        <v>38</v>
      </c>
    </row>
    <row r="19" spans="1:5" ht="13.8" x14ac:dyDescent="0.25">
      <c r="A19" s="23" t="s">
        <v>39</v>
      </c>
      <c r="B19" s="23" t="s">
        <v>40</v>
      </c>
      <c r="C19" s="23" t="s">
        <v>41</v>
      </c>
      <c r="D19" s="24" t="s">
        <v>42</v>
      </c>
      <c r="E19" s="23" t="s">
        <v>43</v>
      </c>
    </row>
    <row r="20" spans="1:5" x14ac:dyDescent="0.25">
      <c r="A20" s="20" t="s">
        <v>15</v>
      </c>
      <c r="B20" s="4" t="s">
        <v>44</v>
      </c>
      <c r="C20" s="4" t="s">
        <v>45</v>
      </c>
      <c r="D20" s="25">
        <v>605</v>
      </c>
      <c r="E20" s="26">
        <v>375.27634998261902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4" workbookViewId="0">
      <selection activeCell="F33" sqref="F33"/>
    </sheetView>
  </sheetViews>
  <sheetFormatPr defaultColWidth="9.109375" defaultRowHeight="13.2" x14ac:dyDescent="0.25"/>
  <cols>
    <col min="1" max="1" width="24.6640625" style="4" bestFit="1" customWidth="1"/>
    <col min="2" max="2" width="33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29.109375" style="4" bestFit="1" customWidth="1"/>
    <col min="7" max="10" width="5.5546875" style="3" customWidth="1"/>
    <col min="11" max="11" width="7.6640625" style="7" bestFit="1" customWidth="1"/>
    <col min="12" max="12" width="8.5546875" style="8" bestFit="1" customWidth="1"/>
    <col min="13" max="13" width="12.6640625" style="4" bestFit="1" customWidth="1"/>
    <col min="14" max="16384" width="9.109375" style="3"/>
  </cols>
  <sheetData>
    <row r="1" spans="1:13" s="2" customFormat="1" ht="28.95" customHeight="1" x14ac:dyDescent="0.25">
      <c r="A1" s="53" t="s">
        <v>260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13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10">
        <v>1</v>
      </c>
      <c r="H4" s="10">
        <v>2</v>
      </c>
      <c r="I4" s="10">
        <v>3</v>
      </c>
      <c r="J4" s="10" t="s">
        <v>5</v>
      </c>
      <c r="K4" s="48"/>
      <c r="L4" s="48"/>
      <c r="M4" s="50"/>
    </row>
    <row r="5" spans="1:13" ht="15.6" x14ac:dyDescent="0.3">
      <c r="A5" s="51" t="s">
        <v>82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27" t="s">
        <v>262</v>
      </c>
      <c r="B6" s="27" t="s">
        <v>263</v>
      </c>
      <c r="C6" s="27" t="s">
        <v>264</v>
      </c>
      <c r="D6" s="28" t="str">
        <f>"0,8156"</f>
        <v>0,8156</v>
      </c>
      <c r="E6" s="27" t="s">
        <v>265</v>
      </c>
      <c r="F6" s="27" t="s">
        <v>196</v>
      </c>
      <c r="G6" s="30" t="s">
        <v>24</v>
      </c>
      <c r="H6" s="29" t="s">
        <v>25</v>
      </c>
      <c r="I6" s="30" t="s">
        <v>25</v>
      </c>
      <c r="J6" s="29" t="s">
        <v>26</v>
      </c>
      <c r="K6" s="31" t="str">
        <f>"140,0"</f>
        <v>140,0</v>
      </c>
      <c r="L6" s="32" t="str">
        <f>"114,1770"</f>
        <v>114,1770</v>
      </c>
      <c r="M6" s="27" t="s">
        <v>30</v>
      </c>
    </row>
    <row r="7" spans="1:13" x14ac:dyDescent="0.25">
      <c r="A7" s="39" t="s">
        <v>267</v>
      </c>
      <c r="B7" s="39" t="s">
        <v>268</v>
      </c>
      <c r="C7" s="39" t="s">
        <v>269</v>
      </c>
      <c r="D7" s="40" t="str">
        <f>"0,7901"</f>
        <v>0,7901</v>
      </c>
      <c r="E7" s="39" t="s">
        <v>19</v>
      </c>
      <c r="F7" s="39" t="s">
        <v>20</v>
      </c>
      <c r="G7" s="42" t="s">
        <v>270</v>
      </c>
      <c r="H7" s="42" t="s">
        <v>113</v>
      </c>
      <c r="I7" s="42" t="s">
        <v>106</v>
      </c>
      <c r="J7" s="41"/>
      <c r="K7" s="43" t="str">
        <f>"90,0"</f>
        <v>90,0</v>
      </c>
      <c r="L7" s="44" t="str">
        <f>"71,1045"</f>
        <v>71,1045</v>
      </c>
      <c r="M7" s="39" t="s">
        <v>30</v>
      </c>
    </row>
    <row r="9" spans="1:13" ht="15.6" x14ac:dyDescent="0.3">
      <c r="A9" s="45" t="s">
        <v>14</v>
      </c>
      <c r="B9" s="46"/>
      <c r="C9" s="46"/>
      <c r="D9" s="46"/>
      <c r="E9" s="46"/>
      <c r="F9" s="46"/>
      <c r="G9" s="46"/>
      <c r="H9" s="46"/>
      <c r="I9" s="46"/>
      <c r="J9" s="46"/>
    </row>
    <row r="10" spans="1:13" x14ac:dyDescent="0.25">
      <c r="A10" s="11" t="s">
        <v>272</v>
      </c>
      <c r="B10" s="11" t="s">
        <v>273</v>
      </c>
      <c r="C10" s="11" t="s">
        <v>18</v>
      </c>
      <c r="D10" s="12" t="str">
        <f>"0,7502"</f>
        <v>0,7502</v>
      </c>
      <c r="E10" s="11" t="s">
        <v>111</v>
      </c>
      <c r="F10" s="11" t="s">
        <v>112</v>
      </c>
      <c r="G10" s="13" t="s">
        <v>274</v>
      </c>
      <c r="H10" s="13" t="s">
        <v>275</v>
      </c>
      <c r="I10" s="14" t="s">
        <v>276</v>
      </c>
      <c r="J10" s="14"/>
      <c r="K10" s="15" t="str">
        <f>"152,5"</f>
        <v>152,5</v>
      </c>
      <c r="L10" s="16" t="str">
        <f>"114,4055"</f>
        <v>114,4055</v>
      </c>
      <c r="M10" s="11" t="s">
        <v>30</v>
      </c>
    </row>
    <row r="12" spans="1:13" ht="15.6" x14ac:dyDescent="0.3">
      <c r="A12" s="45" t="s">
        <v>98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3" x14ac:dyDescent="0.25">
      <c r="A13" s="11" t="s">
        <v>115</v>
      </c>
      <c r="B13" s="11" t="s">
        <v>116</v>
      </c>
      <c r="C13" s="11" t="s">
        <v>117</v>
      </c>
      <c r="D13" s="12" t="str">
        <f>"0,8328"</f>
        <v>0,8328</v>
      </c>
      <c r="E13" s="11" t="s">
        <v>19</v>
      </c>
      <c r="F13" s="11" t="s">
        <v>20</v>
      </c>
      <c r="G13" s="13" t="s">
        <v>24</v>
      </c>
      <c r="H13" s="13" t="s">
        <v>25</v>
      </c>
      <c r="I13" s="13" t="s">
        <v>119</v>
      </c>
      <c r="J13" s="14"/>
      <c r="K13" s="15" t="str">
        <f>"150,0"</f>
        <v>150,0</v>
      </c>
      <c r="L13" s="16" t="str">
        <f>"124,9275"</f>
        <v>124,9275</v>
      </c>
      <c r="M13" s="11" t="s">
        <v>61</v>
      </c>
    </row>
    <row r="15" spans="1:13" ht="15.6" x14ac:dyDescent="0.3">
      <c r="A15" s="45" t="s">
        <v>62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3" x14ac:dyDescent="0.25">
      <c r="A16" s="27" t="s">
        <v>278</v>
      </c>
      <c r="B16" s="27" t="s">
        <v>279</v>
      </c>
      <c r="C16" s="27" t="s">
        <v>280</v>
      </c>
      <c r="D16" s="28" t="str">
        <f>"0,7079"</f>
        <v>0,7079</v>
      </c>
      <c r="E16" s="27" t="s">
        <v>19</v>
      </c>
      <c r="F16" s="27" t="s">
        <v>20</v>
      </c>
      <c r="G16" s="30" t="s">
        <v>59</v>
      </c>
      <c r="H16" s="30" t="s">
        <v>281</v>
      </c>
      <c r="I16" s="30" t="s">
        <v>24</v>
      </c>
      <c r="J16" s="29"/>
      <c r="K16" s="31" t="str">
        <f>"130,0"</f>
        <v>130,0</v>
      </c>
      <c r="L16" s="32" t="str">
        <f>"92,0270"</f>
        <v>92,0270</v>
      </c>
      <c r="M16" s="27" t="s">
        <v>61</v>
      </c>
    </row>
    <row r="17" spans="1:13" x14ac:dyDescent="0.25">
      <c r="A17" s="33" t="s">
        <v>283</v>
      </c>
      <c r="B17" s="33" t="s">
        <v>284</v>
      </c>
      <c r="C17" s="33" t="s">
        <v>285</v>
      </c>
      <c r="D17" s="34" t="str">
        <f>"0,6920"</f>
        <v>0,6920</v>
      </c>
      <c r="E17" s="33" t="s">
        <v>87</v>
      </c>
      <c r="F17" s="33" t="s">
        <v>20</v>
      </c>
      <c r="G17" s="36" t="s">
        <v>60</v>
      </c>
      <c r="H17" s="36" t="s">
        <v>24</v>
      </c>
      <c r="I17" s="35" t="s">
        <v>286</v>
      </c>
      <c r="J17" s="35"/>
      <c r="K17" s="37" t="str">
        <f>"130,0"</f>
        <v>130,0</v>
      </c>
      <c r="L17" s="38" t="str">
        <f>"89,9535"</f>
        <v>89,9535</v>
      </c>
      <c r="M17" s="33" t="s">
        <v>30</v>
      </c>
    </row>
    <row r="18" spans="1:13" x14ac:dyDescent="0.25">
      <c r="A18" s="33" t="s">
        <v>288</v>
      </c>
      <c r="B18" s="33" t="s">
        <v>289</v>
      </c>
      <c r="C18" s="33" t="s">
        <v>290</v>
      </c>
      <c r="D18" s="34" t="str">
        <f>"0,7064"</f>
        <v>0,7064</v>
      </c>
      <c r="E18" s="33" t="s">
        <v>111</v>
      </c>
      <c r="F18" s="33" t="s">
        <v>112</v>
      </c>
      <c r="G18" s="36" t="s">
        <v>291</v>
      </c>
      <c r="H18" s="36" t="s">
        <v>292</v>
      </c>
      <c r="I18" s="36" t="s">
        <v>293</v>
      </c>
      <c r="J18" s="35"/>
      <c r="K18" s="37" t="str">
        <f>"180,0"</f>
        <v>180,0</v>
      </c>
      <c r="L18" s="38" t="str">
        <f>"127,1520"</f>
        <v>127,1520</v>
      </c>
      <c r="M18" s="33" t="s">
        <v>30</v>
      </c>
    </row>
    <row r="19" spans="1:13" x14ac:dyDescent="0.25">
      <c r="A19" s="39" t="s">
        <v>295</v>
      </c>
      <c r="B19" s="39" t="s">
        <v>296</v>
      </c>
      <c r="C19" s="39" t="s">
        <v>190</v>
      </c>
      <c r="D19" s="40" t="str">
        <f>"0,6998"</f>
        <v>0,6998</v>
      </c>
      <c r="E19" s="39" t="s">
        <v>87</v>
      </c>
      <c r="F19" s="39" t="s">
        <v>20</v>
      </c>
      <c r="G19" s="42" t="s">
        <v>291</v>
      </c>
      <c r="H19" s="42" t="s">
        <v>293</v>
      </c>
      <c r="I19" s="41" t="s">
        <v>21</v>
      </c>
      <c r="J19" s="41"/>
      <c r="K19" s="43" t="str">
        <f>"180,0"</f>
        <v>180,0</v>
      </c>
      <c r="L19" s="44" t="str">
        <f>"125,9550"</f>
        <v>125,9550</v>
      </c>
      <c r="M19" s="39" t="s">
        <v>30</v>
      </c>
    </row>
    <row r="21" spans="1:13" ht="15.6" x14ac:dyDescent="0.3">
      <c r="A21" s="45" t="s">
        <v>14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 x14ac:dyDescent="0.25">
      <c r="A22" s="11" t="s">
        <v>298</v>
      </c>
      <c r="B22" s="11" t="s">
        <v>299</v>
      </c>
      <c r="C22" s="11" t="s">
        <v>300</v>
      </c>
      <c r="D22" s="12" t="str">
        <f>"0,6331"</f>
        <v>0,6331</v>
      </c>
      <c r="E22" s="11" t="s">
        <v>111</v>
      </c>
      <c r="F22" s="11" t="s">
        <v>112</v>
      </c>
      <c r="G22" s="13" t="s">
        <v>239</v>
      </c>
      <c r="H22" s="13" t="s">
        <v>27</v>
      </c>
      <c r="I22" s="14" t="s">
        <v>241</v>
      </c>
      <c r="J22" s="14"/>
      <c r="K22" s="15" t="str">
        <f>"230,0"</f>
        <v>230,0</v>
      </c>
      <c r="L22" s="16" t="str">
        <f>"181,4338"</f>
        <v>181,4338</v>
      </c>
      <c r="M22" s="11" t="s">
        <v>30</v>
      </c>
    </row>
    <row r="24" spans="1:13" ht="15.6" x14ac:dyDescent="0.3">
      <c r="A24" s="45" t="s">
        <v>140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3" x14ac:dyDescent="0.25">
      <c r="A25" s="11" t="s">
        <v>302</v>
      </c>
      <c r="B25" s="11" t="s">
        <v>303</v>
      </c>
      <c r="C25" s="11" t="s">
        <v>255</v>
      </c>
      <c r="D25" s="12" t="str">
        <f>"0,5848"</f>
        <v>0,5848</v>
      </c>
      <c r="E25" s="11" t="s">
        <v>111</v>
      </c>
      <c r="F25" s="11" t="s">
        <v>112</v>
      </c>
      <c r="G25" s="14" t="s">
        <v>25</v>
      </c>
      <c r="H25" s="14" t="s">
        <v>26</v>
      </c>
      <c r="I25" s="13" t="s">
        <v>26</v>
      </c>
      <c r="J25" s="14"/>
      <c r="K25" s="15" t="str">
        <f>"145,0"</f>
        <v>145,0</v>
      </c>
      <c r="L25" s="16" t="str">
        <f>"84,7960"</f>
        <v>84,7960</v>
      </c>
      <c r="M25" s="11" t="s">
        <v>30</v>
      </c>
    </row>
    <row r="27" spans="1:13" ht="15" x14ac:dyDescent="0.25">
      <c r="E27" s="17" t="s">
        <v>31</v>
      </c>
    </row>
    <row r="28" spans="1:13" ht="15" x14ac:dyDescent="0.25">
      <c r="E28" s="17" t="s">
        <v>32</v>
      </c>
    </row>
    <row r="29" spans="1:13" ht="15" x14ac:dyDescent="0.25">
      <c r="E29" s="17" t="s">
        <v>33</v>
      </c>
    </row>
    <row r="30" spans="1:13" ht="15" x14ac:dyDescent="0.25">
      <c r="E30" s="17" t="s">
        <v>34</v>
      </c>
    </row>
    <row r="31" spans="1:13" ht="15" x14ac:dyDescent="0.25">
      <c r="E31" s="17" t="s">
        <v>34</v>
      </c>
    </row>
    <row r="32" spans="1:13" ht="15" x14ac:dyDescent="0.25">
      <c r="E32" s="17" t="s">
        <v>35</v>
      </c>
    </row>
    <row r="33" spans="1:5" ht="15" x14ac:dyDescent="0.25">
      <c r="E33" s="17"/>
    </row>
    <row r="35" spans="1:5" ht="17.399999999999999" x14ac:dyDescent="0.3">
      <c r="A35" s="18" t="s">
        <v>36</v>
      </c>
      <c r="B35" s="18"/>
    </row>
    <row r="36" spans="1:5" ht="15.6" x14ac:dyDescent="0.3">
      <c r="A36" s="19" t="s">
        <v>89</v>
      </c>
      <c r="B36" s="19"/>
    </row>
    <row r="37" spans="1:5" ht="14.4" x14ac:dyDescent="0.3">
      <c r="A37" s="21"/>
      <c r="B37" s="22" t="s">
        <v>90</v>
      </c>
    </row>
    <row r="38" spans="1:5" ht="13.8" x14ac:dyDescent="0.25">
      <c r="A38" s="23" t="s">
        <v>39</v>
      </c>
      <c r="B38" s="23" t="s">
        <v>40</v>
      </c>
      <c r="C38" s="23" t="s">
        <v>41</v>
      </c>
      <c r="D38" s="24" t="s">
        <v>165</v>
      </c>
      <c r="E38" s="23" t="s">
        <v>43</v>
      </c>
    </row>
    <row r="39" spans="1:5" x14ac:dyDescent="0.25">
      <c r="A39" s="20" t="s">
        <v>261</v>
      </c>
      <c r="B39" s="4" t="s">
        <v>91</v>
      </c>
      <c r="C39" s="4" t="s">
        <v>226</v>
      </c>
      <c r="D39" s="25">
        <v>140</v>
      </c>
      <c r="E39" s="26">
        <v>114.177004098892</v>
      </c>
    </row>
    <row r="40" spans="1:5" x14ac:dyDescent="0.25">
      <c r="A40" s="20" t="s">
        <v>266</v>
      </c>
      <c r="B40" s="4" t="s">
        <v>91</v>
      </c>
      <c r="C40" s="4" t="s">
        <v>226</v>
      </c>
      <c r="D40" s="25">
        <v>90</v>
      </c>
      <c r="E40" s="26">
        <v>71.104502677917495</v>
      </c>
    </row>
    <row r="42" spans="1:5" ht="14.4" x14ac:dyDescent="0.3">
      <c r="A42" s="21"/>
      <c r="B42" s="22" t="s">
        <v>93</v>
      </c>
    </row>
    <row r="43" spans="1:5" ht="13.8" x14ac:dyDescent="0.25">
      <c r="A43" s="23" t="s">
        <v>39</v>
      </c>
      <c r="B43" s="23" t="s">
        <v>40</v>
      </c>
      <c r="C43" s="23" t="s">
        <v>41</v>
      </c>
      <c r="D43" s="24" t="s">
        <v>165</v>
      </c>
      <c r="E43" s="23" t="s">
        <v>43</v>
      </c>
    </row>
    <row r="44" spans="1:5" x14ac:dyDescent="0.25">
      <c r="A44" s="20" t="s">
        <v>271</v>
      </c>
      <c r="B44" s="4" t="s">
        <v>93</v>
      </c>
      <c r="C44" s="4" t="s">
        <v>45</v>
      </c>
      <c r="D44" s="25">
        <v>152.5</v>
      </c>
      <c r="E44" s="26">
        <v>114.405495971441</v>
      </c>
    </row>
    <row r="47" spans="1:5" ht="15.6" x14ac:dyDescent="0.3">
      <c r="A47" s="19" t="s">
        <v>37</v>
      </c>
      <c r="B47" s="19"/>
    </row>
    <row r="48" spans="1:5" ht="14.4" x14ac:dyDescent="0.3">
      <c r="A48" s="21"/>
      <c r="B48" s="22" t="s">
        <v>95</v>
      </c>
    </row>
    <row r="49" spans="1:5" ht="13.8" x14ac:dyDescent="0.25">
      <c r="A49" s="23" t="s">
        <v>39</v>
      </c>
      <c r="B49" s="23" t="s">
        <v>40</v>
      </c>
      <c r="C49" s="23" t="s">
        <v>41</v>
      </c>
      <c r="D49" s="24" t="s">
        <v>165</v>
      </c>
      <c r="E49" s="23" t="s">
        <v>43</v>
      </c>
    </row>
    <row r="50" spans="1:5" x14ac:dyDescent="0.25">
      <c r="A50" s="20" t="s">
        <v>277</v>
      </c>
      <c r="B50" s="4" t="s">
        <v>91</v>
      </c>
      <c r="C50" s="4" t="s">
        <v>94</v>
      </c>
      <c r="D50" s="25">
        <v>130</v>
      </c>
      <c r="E50" s="26">
        <v>92.0269984006882</v>
      </c>
    </row>
    <row r="51" spans="1:5" x14ac:dyDescent="0.25">
      <c r="A51" s="20" t="s">
        <v>282</v>
      </c>
      <c r="B51" s="4" t="s">
        <v>91</v>
      </c>
      <c r="C51" s="4" t="s">
        <v>94</v>
      </c>
      <c r="D51" s="25">
        <v>130</v>
      </c>
      <c r="E51" s="26">
        <v>89.953503012657194</v>
      </c>
    </row>
    <row r="53" spans="1:5" ht="14.4" x14ac:dyDescent="0.3">
      <c r="A53" s="21"/>
      <c r="B53" s="22" t="s">
        <v>258</v>
      </c>
    </row>
    <row r="54" spans="1:5" ht="13.8" x14ac:dyDescent="0.25">
      <c r="A54" s="23" t="s">
        <v>39</v>
      </c>
      <c r="B54" s="23" t="s">
        <v>40</v>
      </c>
      <c r="C54" s="23" t="s">
        <v>41</v>
      </c>
      <c r="D54" s="24" t="s">
        <v>165</v>
      </c>
      <c r="E54" s="23" t="s">
        <v>43</v>
      </c>
    </row>
    <row r="55" spans="1:5" x14ac:dyDescent="0.25">
      <c r="A55" s="20" t="s">
        <v>301</v>
      </c>
      <c r="B55" s="4" t="s">
        <v>259</v>
      </c>
      <c r="C55" s="4" t="s">
        <v>166</v>
      </c>
      <c r="D55" s="25">
        <v>145</v>
      </c>
      <c r="E55" s="26">
        <v>84.796000719070406</v>
      </c>
    </row>
    <row r="57" spans="1:5" ht="14.4" x14ac:dyDescent="0.3">
      <c r="A57" s="21"/>
      <c r="B57" s="22" t="s">
        <v>93</v>
      </c>
    </row>
    <row r="58" spans="1:5" ht="13.8" x14ac:dyDescent="0.25">
      <c r="A58" s="23" t="s">
        <v>39</v>
      </c>
      <c r="B58" s="23" t="s">
        <v>40</v>
      </c>
      <c r="C58" s="23" t="s">
        <v>41</v>
      </c>
      <c r="D58" s="24" t="s">
        <v>165</v>
      </c>
      <c r="E58" s="23" t="s">
        <v>43</v>
      </c>
    </row>
    <row r="59" spans="1:5" x14ac:dyDescent="0.25">
      <c r="A59" s="20" t="s">
        <v>287</v>
      </c>
      <c r="B59" s="4" t="s">
        <v>93</v>
      </c>
      <c r="C59" s="4" t="s">
        <v>94</v>
      </c>
      <c r="D59" s="25">
        <v>180</v>
      </c>
      <c r="E59" s="26">
        <v>127.15199589729301</v>
      </c>
    </row>
    <row r="60" spans="1:5" x14ac:dyDescent="0.25">
      <c r="A60" s="20" t="s">
        <v>294</v>
      </c>
      <c r="B60" s="4" t="s">
        <v>93</v>
      </c>
      <c r="C60" s="4" t="s">
        <v>94</v>
      </c>
      <c r="D60" s="25">
        <v>180</v>
      </c>
      <c r="E60" s="26">
        <v>125.95500111579901</v>
      </c>
    </row>
    <row r="62" spans="1:5" ht="14.4" x14ac:dyDescent="0.3">
      <c r="A62" s="21"/>
      <c r="B62" s="22" t="s">
        <v>122</v>
      </c>
    </row>
    <row r="63" spans="1:5" ht="13.8" x14ac:dyDescent="0.25">
      <c r="A63" s="23" t="s">
        <v>39</v>
      </c>
      <c r="B63" s="23" t="s">
        <v>40</v>
      </c>
      <c r="C63" s="23" t="s">
        <v>41</v>
      </c>
      <c r="D63" s="24" t="s">
        <v>165</v>
      </c>
      <c r="E63" s="23" t="s">
        <v>43</v>
      </c>
    </row>
    <row r="64" spans="1:5" x14ac:dyDescent="0.25">
      <c r="A64" s="20" t="s">
        <v>114</v>
      </c>
      <c r="B64" s="4" t="s">
        <v>123</v>
      </c>
      <c r="C64" s="4" t="s">
        <v>120</v>
      </c>
      <c r="D64" s="25">
        <v>150</v>
      </c>
      <c r="E64" s="26">
        <v>124.927496910095</v>
      </c>
    </row>
    <row r="66" spans="1:5" ht="14.4" x14ac:dyDescent="0.3">
      <c r="A66" s="21"/>
      <c r="B66" s="22" t="s">
        <v>38</v>
      </c>
    </row>
    <row r="67" spans="1:5" ht="13.8" x14ac:dyDescent="0.25">
      <c r="A67" s="23" t="s">
        <v>39</v>
      </c>
      <c r="B67" s="23" t="s">
        <v>40</v>
      </c>
      <c r="C67" s="23" t="s">
        <v>41</v>
      </c>
      <c r="D67" s="24" t="s">
        <v>165</v>
      </c>
      <c r="E67" s="23" t="s">
        <v>43</v>
      </c>
    </row>
    <row r="68" spans="1:5" x14ac:dyDescent="0.25">
      <c r="A68" s="20" t="s">
        <v>297</v>
      </c>
      <c r="B68" s="4" t="s">
        <v>304</v>
      </c>
      <c r="C68" s="4" t="s">
        <v>45</v>
      </c>
      <c r="D68" s="25">
        <v>230</v>
      </c>
      <c r="E68" s="26">
        <v>181.43379032015801</v>
      </c>
    </row>
  </sheetData>
  <mergeCells count="17">
    <mergeCell ref="A24:J24"/>
    <mergeCell ref="M3:M4"/>
    <mergeCell ref="A5:J5"/>
    <mergeCell ref="A9:J9"/>
    <mergeCell ref="A12:J12"/>
    <mergeCell ref="A15:J15"/>
    <mergeCell ref="A21:J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7.6640625" style="4" bestFit="1" customWidth="1"/>
    <col min="3" max="3" width="14.88671875" style="4" bestFit="1" customWidth="1"/>
    <col min="4" max="4" width="8.21875" style="5" bestFit="1" customWidth="1"/>
    <col min="5" max="6" width="21.77734375" style="4" bestFit="1" customWidth="1"/>
    <col min="7" max="10" width="4.5546875" style="3" customWidth="1"/>
    <col min="11" max="13" width="5.5546875" style="3" customWidth="1"/>
    <col min="14" max="14" width="4.5546875" style="3" customWidth="1"/>
    <col min="15" max="15" width="7.6640625" style="7" bestFit="1" customWidth="1"/>
    <col min="16" max="16" width="8.5546875" style="8" bestFit="1" customWidth="1"/>
    <col min="17" max="17" width="12.6640625" style="4" bestFit="1" customWidth="1"/>
    <col min="18" max="16384" width="9.109375" style="3"/>
  </cols>
  <sheetData>
    <row r="1" spans="1:17" s="2" customFormat="1" ht="28.95" customHeight="1" x14ac:dyDescent="0.25">
      <c r="A1" s="53" t="s">
        <v>310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12</v>
      </c>
      <c r="H3" s="63"/>
      <c r="I3" s="63"/>
      <c r="J3" s="63"/>
      <c r="K3" s="63" t="s">
        <v>13</v>
      </c>
      <c r="L3" s="63"/>
      <c r="M3" s="63"/>
      <c r="N3" s="63"/>
      <c r="O3" s="47" t="s">
        <v>1</v>
      </c>
      <c r="P3" s="47" t="s">
        <v>3</v>
      </c>
      <c r="Q3" s="49" t="s">
        <v>2</v>
      </c>
    </row>
    <row r="4" spans="1:17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48"/>
      <c r="P4" s="48"/>
      <c r="Q4" s="50"/>
    </row>
    <row r="5" spans="1:17" ht="15.6" x14ac:dyDescent="0.3">
      <c r="A5" s="51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x14ac:dyDescent="0.25">
      <c r="A6" s="11" t="s">
        <v>312</v>
      </c>
      <c r="B6" s="11" t="s">
        <v>313</v>
      </c>
      <c r="C6" s="11" t="s">
        <v>314</v>
      </c>
      <c r="D6" s="12" t="str">
        <f>"0,6446"</f>
        <v>0,6446</v>
      </c>
      <c r="E6" s="11" t="s">
        <v>52</v>
      </c>
      <c r="F6" s="11" t="s">
        <v>20</v>
      </c>
      <c r="G6" s="13" t="s">
        <v>251</v>
      </c>
      <c r="H6" s="13" t="s">
        <v>256</v>
      </c>
      <c r="I6" s="13" t="s">
        <v>257</v>
      </c>
      <c r="J6" s="14"/>
      <c r="K6" s="13" t="s">
        <v>185</v>
      </c>
      <c r="L6" s="13" t="s">
        <v>315</v>
      </c>
      <c r="M6" s="13" t="s">
        <v>316</v>
      </c>
      <c r="N6" s="14"/>
      <c r="O6" s="15" t="str">
        <f>"212,5"</f>
        <v>212,5</v>
      </c>
      <c r="P6" s="16" t="str">
        <f>"136,9775"</f>
        <v>136,9775</v>
      </c>
      <c r="Q6" s="11" t="s">
        <v>61</v>
      </c>
    </row>
    <row r="8" spans="1:17" ht="15" x14ac:dyDescent="0.25">
      <c r="E8" s="17" t="s">
        <v>31</v>
      </c>
    </row>
    <row r="9" spans="1:17" ht="15" x14ac:dyDescent="0.25">
      <c r="E9" s="17" t="s">
        <v>32</v>
      </c>
    </row>
    <row r="10" spans="1:17" ht="15" x14ac:dyDescent="0.25">
      <c r="E10" s="17" t="s">
        <v>33</v>
      </c>
    </row>
    <row r="11" spans="1:17" ht="15" x14ac:dyDescent="0.25">
      <c r="E11" s="17" t="s">
        <v>34</v>
      </c>
    </row>
    <row r="12" spans="1:17" ht="15" x14ac:dyDescent="0.25">
      <c r="E12" s="17" t="s">
        <v>34</v>
      </c>
    </row>
    <row r="13" spans="1:17" ht="15" x14ac:dyDescent="0.25">
      <c r="E13" s="17" t="s">
        <v>35</v>
      </c>
    </row>
    <row r="14" spans="1:17" ht="15" x14ac:dyDescent="0.25">
      <c r="E14" s="17"/>
    </row>
    <row r="16" spans="1:17" ht="17.399999999999999" x14ac:dyDescent="0.3">
      <c r="A16" s="18" t="s">
        <v>36</v>
      </c>
      <c r="B16" s="18"/>
    </row>
    <row r="17" spans="1:5" ht="15.6" x14ac:dyDescent="0.3">
      <c r="A17" s="19" t="s">
        <v>37</v>
      </c>
      <c r="B17" s="19"/>
    </row>
    <row r="18" spans="1:5" ht="14.4" x14ac:dyDescent="0.3">
      <c r="A18" s="21"/>
      <c r="B18" s="22" t="s">
        <v>95</v>
      </c>
    </row>
    <row r="19" spans="1:5" ht="13.8" x14ac:dyDescent="0.25">
      <c r="A19" s="23" t="s">
        <v>39</v>
      </c>
      <c r="B19" s="23" t="s">
        <v>40</v>
      </c>
      <c r="C19" s="23" t="s">
        <v>41</v>
      </c>
      <c r="D19" s="24" t="s">
        <v>42</v>
      </c>
      <c r="E19" s="23" t="s">
        <v>43</v>
      </c>
    </row>
    <row r="20" spans="1:5" x14ac:dyDescent="0.25">
      <c r="A20" s="20" t="s">
        <v>311</v>
      </c>
      <c r="B20" s="4" t="s">
        <v>96</v>
      </c>
      <c r="C20" s="4" t="s">
        <v>226</v>
      </c>
      <c r="D20" s="25">
        <v>212.5</v>
      </c>
      <c r="E20" s="26">
        <v>136.977494508028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53" t="s">
        <v>305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247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82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27" t="s">
        <v>210</v>
      </c>
      <c r="B6" s="27" t="s">
        <v>211</v>
      </c>
      <c r="C6" s="27" t="s">
        <v>212</v>
      </c>
      <c r="D6" s="28" t="str">
        <f>"0,8183"</f>
        <v>0,8183</v>
      </c>
      <c r="E6" s="27" t="s">
        <v>19</v>
      </c>
      <c r="F6" s="27" t="s">
        <v>20</v>
      </c>
      <c r="G6" s="30" t="s">
        <v>306</v>
      </c>
      <c r="H6" s="30" t="s">
        <v>55</v>
      </c>
      <c r="I6" s="29"/>
      <c r="J6" s="29"/>
      <c r="K6" s="31" t="str">
        <f>"40,0"</f>
        <v>40,0</v>
      </c>
      <c r="L6" s="32" t="str">
        <f>"32,7300"</f>
        <v>32,7300</v>
      </c>
      <c r="M6" s="27" t="s">
        <v>214</v>
      </c>
    </row>
    <row r="7" spans="1:13" x14ac:dyDescent="0.25">
      <c r="A7" s="39" t="s">
        <v>210</v>
      </c>
      <c r="B7" s="39" t="s">
        <v>215</v>
      </c>
      <c r="C7" s="39" t="s">
        <v>212</v>
      </c>
      <c r="D7" s="40" t="str">
        <f>"0,8183"</f>
        <v>0,8183</v>
      </c>
      <c r="E7" s="39" t="s">
        <v>19</v>
      </c>
      <c r="F7" s="39" t="s">
        <v>20</v>
      </c>
      <c r="G7" s="42" t="s">
        <v>306</v>
      </c>
      <c r="H7" s="42" t="s">
        <v>55</v>
      </c>
      <c r="I7" s="41"/>
      <c r="J7" s="41"/>
      <c r="K7" s="43" t="str">
        <f>"40,0"</f>
        <v>40,0</v>
      </c>
      <c r="L7" s="44" t="str">
        <f>"33,3846"</f>
        <v>33,3846</v>
      </c>
      <c r="M7" s="39" t="s">
        <v>214</v>
      </c>
    </row>
    <row r="9" spans="1:13" ht="15.6" x14ac:dyDescent="0.3">
      <c r="A9" s="45" t="s">
        <v>62</v>
      </c>
      <c r="B9" s="46"/>
      <c r="C9" s="46"/>
      <c r="D9" s="46"/>
      <c r="E9" s="46"/>
      <c r="F9" s="46"/>
      <c r="G9" s="46"/>
      <c r="H9" s="46"/>
      <c r="I9" s="46"/>
      <c r="J9" s="46"/>
    </row>
    <row r="10" spans="1:13" x14ac:dyDescent="0.25">
      <c r="A10" s="11" t="s">
        <v>307</v>
      </c>
      <c r="B10" s="11" t="s">
        <v>284</v>
      </c>
      <c r="C10" s="11" t="s">
        <v>285</v>
      </c>
      <c r="D10" s="12" t="str">
        <f>"0,6920"</f>
        <v>0,6920</v>
      </c>
      <c r="E10" s="11" t="s">
        <v>87</v>
      </c>
      <c r="F10" s="11" t="s">
        <v>20</v>
      </c>
      <c r="G10" s="13" t="s">
        <v>55</v>
      </c>
      <c r="H10" s="14" t="s">
        <v>57</v>
      </c>
      <c r="I10" s="13" t="s">
        <v>69</v>
      </c>
      <c r="J10" s="14"/>
      <c r="K10" s="15" t="str">
        <f>"50,0"</f>
        <v>50,0</v>
      </c>
      <c r="L10" s="16" t="str">
        <f>"34,5975"</f>
        <v>34,5975</v>
      </c>
      <c r="M10" s="11" t="s">
        <v>30</v>
      </c>
    </row>
    <row r="12" spans="1:13" ht="15.6" x14ac:dyDescent="0.3">
      <c r="A12" s="45" t="s">
        <v>82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3" x14ac:dyDescent="0.25">
      <c r="A13" s="11" t="s">
        <v>308</v>
      </c>
      <c r="B13" s="11" t="s">
        <v>85</v>
      </c>
      <c r="C13" s="11" t="s">
        <v>86</v>
      </c>
      <c r="D13" s="12" t="str">
        <f>"0,6589"</f>
        <v>0,6589</v>
      </c>
      <c r="E13" s="11" t="s">
        <v>87</v>
      </c>
      <c r="F13" s="11" t="s">
        <v>20</v>
      </c>
      <c r="G13" s="13" t="s">
        <v>79</v>
      </c>
      <c r="H13" s="14" t="s">
        <v>103</v>
      </c>
      <c r="I13" s="14" t="s">
        <v>103</v>
      </c>
      <c r="J13" s="14"/>
      <c r="K13" s="15" t="str">
        <f>"52,5"</f>
        <v>52,5</v>
      </c>
      <c r="L13" s="16" t="str">
        <f>"34,5949"</f>
        <v>34,5949</v>
      </c>
      <c r="M13" s="11" t="s">
        <v>30</v>
      </c>
    </row>
    <row r="15" spans="1:13" ht="15" x14ac:dyDescent="0.25">
      <c r="E15" s="17" t="s">
        <v>31</v>
      </c>
    </row>
    <row r="16" spans="1:13" ht="15" x14ac:dyDescent="0.25">
      <c r="E16" s="17" t="s">
        <v>32</v>
      </c>
    </row>
    <row r="17" spans="1:5" ht="15" x14ac:dyDescent="0.25">
      <c r="E17" s="17" t="s">
        <v>33</v>
      </c>
    </row>
    <row r="18" spans="1:5" ht="15" x14ac:dyDescent="0.25">
      <c r="E18" s="17" t="s">
        <v>34</v>
      </c>
    </row>
    <row r="19" spans="1:5" ht="15" x14ac:dyDescent="0.25">
      <c r="E19" s="17" t="s">
        <v>34</v>
      </c>
    </row>
    <row r="20" spans="1:5" ht="15" x14ac:dyDescent="0.25">
      <c r="E20" s="17" t="s">
        <v>35</v>
      </c>
    </row>
    <row r="21" spans="1:5" ht="15" x14ac:dyDescent="0.25">
      <c r="E21" s="17"/>
    </row>
    <row r="23" spans="1:5" ht="17.399999999999999" x14ac:dyDescent="0.3">
      <c r="A23" s="18" t="s">
        <v>36</v>
      </c>
      <c r="B23" s="18"/>
    </row>
    <row r="24" spans="1:5" ht="15.6" x14ac:dyDescent="0.3">
      <c r="A24" s="19" t="s">
        <v>89</v>
      </c>
      <c r="B24" s="19"/>
    </row>
    <row r="25" spans="1:5" ht="14.4" x14ac:dyDescent="0.3">
      <c r="A25" s="21"/>
      <c r="B25" s="22" t="s">
        <v>93</v>
      </c>
    </row>
    <row r="26" spans="1:5" ht="13.8" x14ac:dyDescent="0.25">
      <c r="A26" s="23" t="s">
        <v>39</v>
      </c>
      <c r="B26" s="23" t="s">
        <v>40</v>
      </c>
      <c r="C26" s="23" t="s">
        <v>41</v>
      </c>
      <c r="D26" s="24" t="s">
        <v>165</v>
      </c>
      <c r="E26" s="23" t="s">
        <v>43</v>
      </c>
    </row>
    <row r="27" spans="1:5" x14ac:dyDescent="0.25">
      <c r="A27" s="20" t="s">
        <v>209</v>
      </c>
      <c r="B27" s="4" t="s">
        <v>93</v>
      </c>
      <c r="C27" s="4" t="s">
        <v>226</v>
      </c>
      <c r="D27" s="25">
        <v>40</v>
      </c>
      <c r="E27" s="26">
        <v>32.730000019073501</v>
      </c>
    </row>
    <row r="29" spans="1:5" ht="14.4" x14ac:dyDescent="0.3">
      <c r="A29" s="21"/>
      <c r="B29" s="22" t="s">
        <v>38</v>
      </c>
    </row>
    <row r="30" spans="1:5" ht="13.8" x14ac:dyDescent="0.25">
      <c r="A30" s="23" t="s">
        <v>39</v>
      </c>
      <c r="B30" s="23" t="s">
        <v>40</v>
      </c>
      <c r="C30" s="23" t="s">
        <v>41</v>
      </c>
      <c r="D30" s="24" t="s">
        <v>165</v>
      </c>
      <c r="E30" s="23" t="s">
        <v>43</v>
      </c>
    </row>
    <row r="31" spans="1:5" x14ac:dyDescent="0.25">
      <c r="A31" s="20" t="s">
        <v>209</v>
      </c>
      <c r="B31" s="4" t="s">
        <v>44</v>
      </c>
      <c r="C31" s="4" t="s">
        <v>226</v>
      </c>
      <c r="D31" s="25">
        <v>40</v>
      </c>
      <c r="E31" s="26">
        <v>33.384600019455</v>
      </c>
    </row>
    <row r="34" spans="1:5" ht="15.6" x14ac:dyDescent="0.3">
      <c r="A34" s="19" t="s">
        <v>37</v>
      </c>
      <c r="B34" s="19"/>
    </row>
    <row r="35" spans="1:5" ht="14.4" x14ac:dyDescent="0.3">
      <c r="A35" s="21"/>
      <c r="B35" s="22" t="s">
        <v>95</v>
      </c>
    </row>
    <row r="36" spans="1:5" ht="13.8" x14ac:dyDescent="0.25">
      <c r="A36" s="23" t="s">
        <v>39</v>
      </c>
      <c r="B36" s="23" t="s">
        <v>40</v>
      </c>
      <c r="C36" s="23" t="s">
        <v>41</v>
      </c>
      <c r="D36" s="24" t="s">
        <v>165</v>
      </c>
      <c r="E36" s="23" t="s">
        <v>43</v>
      </c>
    </row>
    <row r="37" spans="1:5" x14ac:dyDescent="0.25">
      <c r="A37" s="20" t="s">
        <v>282</v>
      </c>
      <c r="B37" s="4" t="s">
        <v>91</v>
      </c>
      <c r="C37" s="4" t="s">
        <v>94</v>
      </c>
      <c r="D37" s="25">
        <v>50</v>
      </c>
      <c r="E37" s="26">
        <v>34.597501158714302</v>
      </c>
    </row>
    <row r="38" spans="1:5" x14ac:dyDescent="0.25">
      <c r="A38" s="20" t="s">
        <v>83</v>
      </c>
      <c r="B38" s="4" t="s">
        <v>309</v>
      </c>
      <c r="C38" s="4" t="s">
        <v>226</v>
      </c>
      <c r="D38" s="25">
        <v>52.5</v>
      </c>
      <c r="E38" s="26">
        <v>34.5948734879494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2:J12"/>
    <mergeCell ref="K3:K4"/>
    <mergeCell ref="L3:L4"/>
    <mergeCell ref="M3:M4"/>
    <mergeCell ref="A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8.4414062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53" t="s">
        <v>246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247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11" t="s">
        <v>248</v>
      </c>
      <c r="B6" s="11" t="s">
        <v>249</v>
      </c>
      <c r="C6" s="11" t="s">
        <v>250</v>
      </c>
      <c r="D6" s="12" t="str">
        <f>"0,6119"</f>
        <v>0,6119</v>
      </c>
      <c r="E6" s="11" t="s">
        <v>87</v>
      </c>
      <c r="F6" s="11" t="s">
        <v>20</v>
      </c>
      <c r="G6" s="14" t="s">
        <v>251</v>
      </c>
      <c r="H6" s="14" t="s">
        <v>251</v>
      </c>
      <c r="I6" s="14" t="s">
        <v>251</v>
      </c>
      <c r="J6" s="14"/>
      <c r="K6" s="15" t="str">
        <f>"0.00"</f>
        <v>0.00</v>
      </c>
      <c r="L6" s="16" t="str">
        <f>"0,0000"</f>
        <v>0,0000</v>
      </c>
      <c r="M6" s="11" t="s">
        <v>30</v>
      </c>
    </row>
    <row r="8" spans="1:13" ht="15.6" x14ac:dyDescent="0.3">
      <c r="A8" s="45" t="s">
        <v>140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5">
      <c r="A9" s="11" t="s">
        <v>253</v>
      </c>
      <c r="B9" s="11" t="s">
        <v>254</v>
      </c>
      <c r="C9" s="11" t="s">
        <v>255</v>
      </c>
      <c r="D9" s="12" t="str">
        <f>"0,5848"</f>
        <v>0,5848</v>
      </c>
      <c r="E9" s="11" t="s">
        <v>87</v>
      </c>
      <c r="F9" s="11" t="s">
        <v>20</v>
      </c>
      <c r="G9" s="13" t="s">
        <v>256</v>
      </c>
      <c r="H9" s="14" t="s">
        <v>257</v>
      </c>
      <c r="I9" s="14" t="s">
        <v>257</v>
      </c>
      <c r="J9" s="14"/>
      <c r="K9" s="15" t="str">
        <f>"70,0"</f>
        <v>70,0</v>
      </c>
      <c r="L9" s="16" t="str">
        <f>"40,9360"</f>
        <v>40,9360</v>
      </c>
      <c r="M9" s="11" t="s">
        <v>30</v>
      </c>
    </row>
    <row r="11" spans="1:13" ht="15" x14ac:dyDescent="0.25">
      <c r="E11" s="17" t="s">
        <v>31</v>
      </c>
    </row>
    <row r="12" spans="1:13" ht="15" x14ac:dyDescent="0.25">
      <c r="E12" s="17" t="s">
        <v>32</v>
      </c>
    </row>
    <row r="13" spans="1:13" ht="15" x14ac:dyDescent="0.25">
      <c r="E13" s="17" t="s">
        <v>33</v>
      </c>
    </row>
    <row r="14" spans="1:13" ht="15" x14ac:dyDescent="0.25">
      <c r="E14" s="17" t="s">
        <v>34</v>
      </c>
    </row>
    <row r="15" spans="1:13" ht="15" x14ac:dyDescent="0.25">
      <c r="E15" s="17" t="s">
        <v>34</v>
      </c>
    </row>
    <row r="16" spans="1:13" ht="15" x14ac:dyDescent="0.25">
      <c r="E16" s="17" t="s">
        <v>35</v>
      </c>
    </row>
    <row r="17" spans="1:5" ht="15" x14ac:dyDescent="0.25">
      <c r="E17" s="17"/>
    </row>
    <row r="19" spans="1:5" ht="17.399999999999999" x14ac:dyDescent="0.3">
      <c r="A19" s="18" t="s">
        <v>36</v>
      </c>
      <c r="B19" s="18"/>
    </row>
    <row r="20" spans="1:5" ht="15.6" x14ac:dyDescent="0.3">
      <c r="A20" s="19" t="s">
        <v>37</v>
      </c>
      <c r="B20" s="19"/>
    </row>
    <row r="21" spans="1:5" ht="14.4" x14ac:dyDescent="0.3">
      <c r="A21" s="21"/>
      <c r="B21" s="22" t="s">
        <v>258</v>
      </c>
    </row>
    <row r="22" spans="1:5" ht="13.8" x14ac:dyDescent="0.25">
      <c r="A22" s="23" t="s">
        <v>39</v>
      </c>
      <c r="B22" s="23" t="s">
        <v>40</v>
      </c>
      <c r="C22" s="23" t="s">
        <v>41</v>
      </c>
      <c r="D22" s="24" t="s">
        <v>165</v>
      </c>
      <c r="E22" s="23" t="s">
        <v>43</v>
      </c>
    </row>
    <row r="23" spans="1:5" x14ac:dyDescent="0.25">
      <c r="A23" s="20" t="s">
        <v>252</v>
      </c>
      <c r="B23" s="4" t="s">
        <v>259</v>
      </c>
      <c r="C23" s="4" t="s">
        <v>166</v>
      </c>
      <c r="D23" s="25">
        <v>70</v>
      </c>
      <c r="E23" s="26">
        <v>40.936000347137501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29.10937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6.44140625" style="4" bestFit="1" customWidth="1"/>
    <col min="14" max="16384" width="9.109375" style="3"/>
  </cols>
  <sheetData>
    <row r="1" spans="1:13" s="2" customFormat="1" ht="28.95" customHeight="1" x14ac:dyDescent="0.25">
      <c r="A1" s="53" t="s">
        <v>228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13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98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11" t="s">
        <v>230</v>
      </c>
      <c r="B6" s="11" t="s">
        <v>231</v>
      </c>
      <c r="C6" s="11" t="s">
        <v>232</v>
      </c>
      <c r="D6" s="12" t="str">
        <f>"1,0234"</f>
        <v>1,0234</v>
      </c>
      <c r="E6" s="11" t="s">
        <v>87</v>
      </c>
      <c r="F6" s="11" t="s">
        <v>20</v>
      </c>
      <c r="G6" s="13" t="s">
        <v>70</v>
      </c>
      <c r="H6" s="13" t="s">
        <v>71</v>
      </c>
      <c r="I6" s="13" t="s">
        <v>59</v>
      </c>
      <c r="J6" s="14"/>
      <c r="K6" s="15" t="str">
        <f>"115,0"</f>
        <v>115,0</v>
      </c>
      <c r="L6" s="16" t="str">
        <f>"117,6910"</f>
        <v>117,6910</v>
      </c>
      <c r="M6" s="11" t="s">
        <v>233</v>
      </c>
    </row>
    <row r="8" spans="1:13" ht="15.6" x14ac:dyDescent="0.3">
      <c r="A8" s="45" t="s">
        <v>82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5">
      <c r="A9" s="11" t="s">
        <v>235</v>
      </c>
      <c r="B9" s="11" t="s">
        <v>236</v>
      </c>
      <c r="C9" s="11" t="s">
        <v>237</v>
      </c>
      <c r="D9" s="12" t="str">
        <f>"0,6508"</f>
        <v>0,6508</v>
      </c>
      <c r="E9" s="11" t="s">
        <v>238</v>
      </c>
      <c r="F9" s="11" t="s">
        <v>196</v>
      </c>
      <c r="G9" s="13" t="s">
        <v>239</v>
      </c>
      <c r="H9" s="14" t="s">
        <v>27</v>
      </c>
      <c r="I9" s="14" t="s">
        <v>240</v>
      </c>
      <c r="J9" s="14"/>
      <c r="K9" s="15" t="str">
        <f>"220,0"</f>
        <v>220,0</v>
      </c>
      <c r="L9" s="16" t="str">
        <f>"143,1760"</f>
        <v>143,1760</v>
      </c>
      <c r="M9" s="11" t="s">
        <v>30</v>
      </c>
    </row>
    <row r="11" spans="1:13" ht="15.6" x14ac:dyDescent="0.3">
      <c r="A11" s="45" t="s">
        <v>14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x14ac:dyDescent="0.25">
      <c r="A12" s="11" t="s">
        <v>16</v>
      </c>
      <c r="B12" s="11" t="s">
        <v>17</v>
      </c>
      <c r="C12" s="11" t="s">
        <v>18</v>
      </c>
      <c r="D12" s="12" t="str">
        <f>"0,6141"</f>
        <v>0,6141</v>
      </c>
      <c r="E12" s="11" t="s">
        <v>19</v>
      </c>
      <c r="F12" s="11" t="s">
        <v>20</v>
      </c>
      <c r="G12" s="13" t="s">
        <v>241</v>
      </c>
      <c r="H12" s="13" t="s">
        <v>28</v>
      </c>
      <c r="I12" s="14" t="s">
        <v>29</v>
      </c>
      <c r="J12" s="14"/>
      <c r="K12" s="15" t="str">
        <f>"250,0"</f>
        <v>250,0</v>
      </c>
      <c r="L12" s="16" t="str">
        <f>"155,0729"</f>
        <v>155,0729</v>
      </c>
      <c r="M12" s="11" t="s">
        <v>30</v>
      </c>
    </row>
    <row r="14" spans="1:13" ht="15.6" x14ac:dyDescent="0.3">
      <c r="A14" s="45" t="s">
        <v>140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 x14ac:dyDescent="0.25">
      <c r="A15" s="11" t="s">
        <v>243</v>
      </c>
      <c r="B15" s="11" t="s">
        <v>244</v>
      </c>
      <c r="C15" s="11" t="s">
        <v>245</v>
      </c>
      <c r="D15" s="12" t="str">
        <f>"0,5891"</f>
        <v>0,5891</v>
      </c>
      <c r="E15" s="11" t="s">
        <v>111</v>
      </c>
      <c r="F15" s="11" t="s">
        <v>112</v>
      </c>
      <c r="G15" s="13" t="s">
        <v>29</v>
      </c>
      <c r="H15" s="14" t="s">
        <v>151</v>
      </c>
      <c r="I15" s="14" t="s">
        <v>151</v>
      </c>
      <c r="J15" s="14"/>
      <c r="K15" s="15" t="str">
        <f>"260,0"</f>
        <v>260,0</v>
      </c>
      <c r="L15" s="16" t="str">
        <f>"153,1660"</f>
        <v>153,1660</v>
      </c>
      <c r="M15" s="11" t="s">
        <v>30</v>
      </c>
    </row>
    <row r="17" spans="1:5" ht="15" x14ac:dyDescent="0.25">
      <c r="E17" s="17" t="s">
        <v>31</v>
      </c>
    </row>
    <row r="18" spans="1:5" ht="15" x14ac:dyDescent="0.25">
      <c r="E18" s="17" t="s">
        <v>32</v>
      </c>
    </row>
    <row r="19" spans="1:5" ht="15" x14ac:dyDescent="0.25">
      <c r="E19" s="17" t="s">
        <v>33</v>
      </c>
    </row>
    <row r="20" spans="1:5" ht="15" x14ac:dyDescent="0.25">
      <c r="E20" s="17" t="s">
        <v>34</v>
      </c>
    </row>
    <row r="21" spans="1:5" ht="15" x14ac:dyDescent="0.25">
      <c r="E21" s="17" t="s">
        <v>34</v>
      </c>
    </row>
    <row r="22" spans="1:5" ht="15" x14ac:dyDescent="0.25">
      <c r="E22" s="17" t="s">
        <v>35</v>
      </c>
    </row>
    <row r="23" spans="1:5" ht="15" x14ac:dyDescent="0.25">
      <c r="E23" s="17"/>
    </row>
    <row r="25" spans="1:5" ht="17.399999999999999" x14ac:dyDescent="0.3">
      <c r="A25" s="18" t="s">
        <v>36</v>
      </c>
      <c r="B25" s="18"/>
    </row>
    <row r="26" spans="1:5" ht="15.6" x14ac:dyDescent="0.3">
      <c r="A26" s="19" t="s">
        <v>89</v>
      </c>
      <c r="B26" s="19"/>
    </row>
    <row r="27" spans="1:5" ht="14.4" x14ac:dyDescent="0.3">
      <c r="A27" s="21"/>
      <c r="B27" s="22" t="s">
        <v>93</v>
      </c>
    </row>
    <row r="28" spans="1:5" ht="13.8" x14ac:dyDescent="0.25">
      <c r="A28" s="23" t="s">
        <v>39</v>
      </c>
      <c r="B28" s="23" t="s">
        <v>40</v>
      </c>
      <c r="C28" s="23" t="s">
        <v>41</v>
      </c>
      <c r="D28" s="24" t="s">
        <v>165</v>
      </c>
      <c r="E28" s="23" t="s">
        <v>43</v>
      </c>
    </row>
    <row r="29" spans="1:5" x14ac:dyDescent="0.25">
      <c r="A29" s="20" t="s">
        <v>229</v>
      </c>
      <c r="B29" s="4" t="s">
        <v>93</v>
      </c>
      <c r="C29" s="4" t="s">
        <v>120</v>
      </c>
      <c r="D29" s="25">
        <v>115</v>
      </c>
      <c r="E29" s="26">
        <v>117.69099414348599</v>
      </c>
    </row>
    <row r="32" spans="1:5" ht="15.6" x14ac:dyDescent="0.3">
      <c r="A32" s="19" t="s">
        <v>37</v>
      </c>
      <c r="B32" s="19"/>
    </row>
    <row r="33" spans="1:5" ht="14.4" x14ac:dyDescent="0.3">
      <c r="A33" s="21"/>
      <c r="B33" s="22" t="s">
        <v>93</v>
      </c>
    </row>
    <row r="34" spans="1:5" ht="13.8" x14ac:dyDescent="0.25">
      <c r="A34" s="23" t="s">
        <v>39</v>
      </c>
      <c r="B34" s="23" t="s">
        <v>40</v>
      </c>
      <c r="C34" s="23" t="s">
        <v>41</v>
      </c>
      <c r="D34" s="24" t="s">
        <v>165</v>
      </c>
      <c r="E34" s="23" t="s">
        <v>43</v>
      </c>
    </row>
    <row r="35" spans="1:5" x14ac:dyDescent="0.25">
      <c r="A35" s="20" t="s">
        <v>242</v>
      </c>
      <c r="B35" s="4" t="s">
        <v>93</v>
      </c>
      <c r="C35" s="4" t="s">
        <v>166</v>
      </c>
      <c r="D35" s="25">
        <v>260</v>
      </c>
      <c r="E35" s="26">
        <v>153.16600084304801</v>
      </c>
    </row>
    <row r="36" spans="1:5" x14ac:dyDescent="0.25">
      <c r="A36" s="20" t="s">
        <v>234</v>
      </c>
      <c r="B36" s="4" t="s">
        <v>93</v>
      </c>
      <c r="C36" s="4" t="s">
        <v>226</v>
      </c>
      <c r="D36" s="25">
        <v>220</v>
      </c>
      <c r="E36" s="26">
        <v>143.17599773406999</v>
      </c>
    </row>
    <row r="38" spans="1:5" ht="14.4" x14ac:dyDescent="0.3">
      <c r="A38" s="21"/>
      <c r="B38" s="22" t="s">
        <v>38</v>
      </c>
    </row>
    <row r="39" spans="1:5" ht="13.8" x14ac:dyDescent="0.25">
      <c r="A39" s="23" t="s">
        <v>39</v>
      </c>
      <c r="B39" s="23" t="s">
        <v>40</v>
      </c>
      <c r="C39" s="23" t="s">
        <v>41</v>
      </c>
      <c r="D39" s="24" t="s">
        <v>165</v>
      </c>
      <c r="E39" s="23" t="s">
        <v>43</v>
      </c>
    </row>
    <row r="40" spans="1:5" x14ac:dyDescent="0.25">
      <c r="A40" s="20" t="s">
        <v>15</v>
      </c>
      <c r="B40" s="4" t="s">
        <v>44</v>
      </c>
      <c r="C40" s="4" t="s">
        <v>45</v>
      </c>
      <c r="D40" s="25">
        <v>250</v>
      </c>
      <c r="E40" s="26">
        <v>155.07287189364399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K3:K4"/>
    <mergeCell ref="L3:L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7" sqref="A7:XFD7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1.4414062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6.21875" style="4" bestFit="1" customWidth="1"/>
    <col min="14" max="16384" width="9.109375" style="3"/>
  </cols>
  <sheetData>
    <row r="1" spans="1:13" s="2" customFormat="1" ht="28.95" customHeight="1" x14ac:dyDescent="0.25">
      <c r="A1" s="53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12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82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27" t="s">
        <v>210</v>
      </c>
      <c r="B6" s="27" t="s">
        <v>211</v>
      </c>
      <c r="C6" s="27" t="s">
        <v>212</v>
      </c>
      <c r="D6" s="28" t="str">
        <f>"0,8183"</f>
        <v>0,8183</v>
      </c>
      <c r="E6" s="27" t="s">
        <v>19</v>
      </c>
      <c r="F6" s="27" t="s">
        <v>20</v>
      </c>
      <c r="G6" s="30" t="s">
        <v>186</v>
      </c>
      <c r="H6" s="30" t="s">
        <v>213</v>
      </c>
      <c r="I6" s="30" t="s">
        <v>25</v>
      </c>
      <c r="J6" s="29"/>
      <c r="K6" s="31" t="str">
        <f>"140,0"</f>
        <v>140,0</v>
      </c>
      <c r="L6" s="32" t="str">
        <f>"114,5550"</f>
        <v>114,5550</v>
      </c>
      <c r="M6" s="27" t="s">
        <v>214</v>
      </c>
    </row>
    <row r="7" spans="1:13" x14ac:dyDescent="0.25">
      <c r="A7" s="39" t="s">
        <v>210</v>
      </c>
      <c r="B7" s="39" t="s">
        <v>215</v>
      </c>
      <c r="C7" s="39" t="s">
        <v>212</v>
      </c>
      <c r="D7" s="40" t="str">
        <f>"0,8183"</f>
        <v>0,8183</v>
      </c>
      <c r="E7" s="39" t="s">
        <v>19</v>
      </c>
      <c r="F7" s="39" t="s">
        <v>20</v>
      </c>
      <c r="G7" s="42" t="s">
        <v>186</v>
      </c>
      <c r="H7" s="42" t="s">
        <v>213</v>
      </c>
      <c r="I7" s="42" t="s">
        <v>25</v>
      </c>
      <c r="J7" s="41"/>
      <c r="K7" s="43" t="str">
        <f>"140,0"</f>
        <v>140,0</v>
      </c>
      <c r="L7" s="44" t="str">
        <f>"116,8461"</f>
        <v>116,8461</v>
      </c>
      <c r="M7" s="39" t="s">
        <v>214</v>
      </c>
    </row>
    <row r="9" spans="1:13" ht="15.6" x14ac:dyDescent="0.3">
      <c r="A9" s="45" t="s">
        <v>47</v>
      </c>
      <c r="B9" s="46"/>
      <c r="C9" s="46"/>
      <c r="D9" s="46"/>
      <c r="E9" s="46"/>
      <c r="F9" s="46"/>
      <c r="G9" s="46"/>
      <c r="H9" s="46"/>
      <c r="I9" s="46"/>
      <c r="J9" s="46"/>
    </row>
    <row r="10" spans="1:13" x14ac:dyDescent="0.25">
      <c r="A10" s="11" t="s">
        <v>127</v>
      </c>
      <c r="B10" s="11" t="s">
        <v>128</v>
      </c>
      <c r="C10" s="11" t="s">
        <v>129</v>
      </c>
      <c r="D10" s="12" t="str">
        <f>"0,7581"</f>
        <v>0,7581</v>
      </c>
      <c r="E10" s="11" t="s">
        <v>87</v>
      </c>
      <c r="F10" s="11" t="s">
        <v>130</v>
      </c>
      <c r="G10" s="13" t="s">
        <v>131</v>
      </c>
      <c r="H10" s="14"/>
      <c r="I10" s="14"/>
      <c r="J10" s="14"/>
      <c r="K10" s="15" t="str">
        <f>"147,5"</f>
        <v>147,5</v>
      </c>
      <c r="L10" s="16" t="str">
        <f>"111,8124"</f>
        <v>111,8124</v>
      </c>
      <c r="M10" s="11" t="s">
        <v>30</v>
      </c>
    </row>
    <row r="12" spans="1:13" ht="15.6" x14ac:dyDescent="0.3">
      <c r="A12" s="45" t="s">
        <v>82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3" x14ac:dyDescent="0.25">
      <c r="A13" s="11" t="s">
        <v>217</v>
      </c>
      <c r="B13" s="11" t="s">
        <v>218</v>
      </c>
      <c r="C13" s="11" t="s">
        <v>219</v>
      </c>
      <c r="D13" s="12" t="str">
        <f>"0,6524"</f>
        <v>0,6524</v>
      </c>
      <c r="E13" s="11" t="s">
        <v>111</v>
      </c>
      <c r="F13" s="11" t="s">
        <v>112</v>
      </c>
      <c r="G13" s="14" t="s">
        <v>220</v>
      </c>
      <c r="H13" s="13" t="s">
        <v>220</v>
      </c>
      <c r="I13" s="14" t="s">
        <v>22</v>
      </c>
      <c r="J13" s="14"/>
      <c r="K13" s="15" t="str">
        <f>"175,0"</f>
        <v>175,0</v>
      </c>
      <c r="L13" s="16" t="str">
        <f>"114,1613"</f>
        <v>114,1613</v>
      </c>
      <c r="M13" s="11" t="s">
        <v>30</v>
      </c>
    </row>
    <row r="15" spans="1:13" ht="15.6" x14ac:dyDescent="0.3">
      <c r="A15" s="45" t="s">
        <v>140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3" x14ac:dyDescent="0.25">
      <c r="A16" s="11" t="s">
        <v>222</v>
      </c>
      <c r="B16" s="11" t="s">
        <v>223</v>
      </c>
      <c r="C16" s="11" t="s">
        <v>224</v>
      </c>
      <c r="D16" s="12" t="str">
        <f>"0,5856"</f>
        <v>0,5856</v>
      </c>
      <c r="E16" s="11" t="s">
        <v>111</v>
      </c>
      <c r="F16" s="11" t="s">
        <v>112</v>
      </c>
      <c r="G16" s="13" t="s">
        <v>28</v>
      </c>
      <c r="H16" s="13" t="s">
        <v>225</v>
      </c>
      <c r="I16" s="13" t="s">
        <v>151</v>
      </c>
      <c r="J16" s="14"/>
      <c r="K16" s="15" t="str">
        <f>"270,0"</f>
        <v>270,0</v>
      </c>
      <c r="L16" s="16" t="str">
        <f>"175,9787"</f>
        <v>175,9787</v>
      </c>
      <c r="M16" s="11" t="s">
        <v>30</v>
      </c>
    </row>
    <row r="18" spans="1:5" ht="15" x14ac:dyDescent="0.25">
      <c r="E18" s="17" t="s">
        <v>31</v>
      </c>
    </row>
    <row r="19" spans="1:5" ht="15" x14ac:dyDescent="0.25">
      <c r="E19" s="17" t="s">
        <v>32</v>
      </c>
    </row>
    <row r="20" spans="1:5" ht="15" x14ac:dyDescent="0.25">
      <c r="E20" s="17" t="s">
        <v>33</v>
      </c>
    </row>
    <row r="21" spans="1:5" ht="15" x14ac:dyDescent="0.25">
      <c r="E21" s="17" t="s">
        <v>34</v>
      </c>
    </row>
    <row r="22" spans="1:5" ht="15" x14ac:dyDescent="0.25">
      <c r="E22" s="17" t="s">
        <v>34</v>
      </c>
    </row>
    <row r="23" spans="1:5" ht="15" x14ac:dyDescent="0.25">
      <c r="E23" s="17" t="s">
        <v>35</v>
      </c>
    </row>
    <row r="24" spans="1:5" ht="15" x14ac:dyDescent="0.25">
      <c r="E24" s="17"/>
    </row>
    <row r="26" spans="1:5" ht="17.399999999999999" x14ac:dyDescent="0.3">
      <c r="A26" s="18" t="s">
        <v>36</v>
      </c>
      <c r="B26" s="18"/>
    </row>
    <row r="27" spans="1:5" ht="15.6" x14ac:dyDescent="0.3">
      <c r="A27" s="19" t="s">
        <v>89</v>
      </c>
      <c r="B27" s="19"/>
    </row>
    <row r="28" spans="1:5" ht="14.4" x14ac:dyDescent="0.3">
      <c r="A28" s="21"/>
      <c r="B28" s="22" t="s">
        <v>93</v>
      </c>
    </row>
    <row r="29" spans="1:5" ht="13.8" x14ac:dyDescent="0.25">
      <c r="A29" s="23" t="s">
        <v>39</v>
      </c>
      <c r="B29" s="23" t="s">
        <v>40</v>
      </c>
      <c r="C29" s="23" t="s">
        <v>41</v>
      </c>
      <c r="D29" s="24" t="s">
        <v>165</v>
      </c>
      <c r="E29" s="23" t="s">
        <v>43</v>
      </c>
    </row>
    <row r="30" spans="1:5" x14ac:dyDescent="0.25">
      <c r="A30" s="20" t="s">
        <v>209</v>
      </c>
      <c r="B30" s="4" t="s">
        <v>93</v>
      </c>
      <c r="C30" s="4" t="s">
        <v>226</v>
      </c>
      <c r="D30" s="25">
        <v>140</v>
      </c>
      <c r="E30" s="26">
        <v>114.555000066757</v>
      </c>
    </row>
    <row r="31" spans="1:5" x14ac:dyDescent="0.25">
      <c r="A31" s="20" t="s">
        <v>209</v>
      </c>
      <c r="B31" s="4" t="s">
        <v>93</v>
      </c>
      <c r="C31" s="4" t="s">
        <v>226</v>
      </c>
      <c r="D31" s="25">
        <v>125</v>
      </c>
      <c r="E31" s="26">
        <v>102.281250059605</v>
      </c>
    </row>
    <row r="33" spans="1:5" ht="14.4" x14ac:dyDescent="0.3">
      <c r="A33" s="21"/>
      <c r="B33" s="22" t="s">
        <v>38</v>
      </c>
    </row>
    <row r="34" spans="1:5" ht="13.8" x14ac:dyDescent="0.25">
      <c r="A34" s="23" t="s">
        <v>39</v>
      </c>
      <c r="B34" s="23" t="s">
        <v>40</v>
      </c>
      <c r="C34" s="23" t="s">
        <v>41</v>
      </c>
      <c r="D34" s="24" t="s">
        <v>165</v>
      </c>
      <c r="E34" s="23" t="s">
        <v>43</v>
      </c>
    </row>
    <row r="35" spans="1:5" x14ac:dyDescent="0.25">
      <c r="A35" s="20" t="s">
        <v>209</v>
      </c>
      <c r="B35" s="4" t="s">
        <v>44</v>
      </c>
      <c r="C35" s="4" t="s">
        <v>226</v>
      </c>
      <c r="D35" s="25">
        <v>140</v>
      </c>
      <c r="E35" s="26">
        <v>116.846100068092</v>
      </c>
    </row>
    <row r="38" spans="1:5" ht="15.6" x14ac:dyDescent="0.3">
      <c r="A38" s="19" t="s">
        <v>37</v>
      </c>
      <c r="B38" s="19"/>
    </row>
    <row r="39" spans="1:5" ht="14.4" x14ac:dyDescent="0.3">
      <c r="A39" s="21"/>
      <c r="B39" s="22" t="s">
        <v>93</v>
      </c>
    </row>
    <row r="40" spans="1:5" ht="13.8" x14ac:dyDescent="0.25">
      <c r="A40" s="23" t="s">
        <v>39</v>
      </c>
      <c r="B40" s="23" t="s">
        <v>40</v>
      </c>
      <c r="C40" s="23" t="s">
        <v>41</v>
      </c>
      <c r="D40" s="24" t="s">
        <v>165</v>
      </c>
      <c r="E40" s="23" t="s">
        <v>43</v>
      </c>
    </row>
    <row r="41" spans="1:5" x14ac:dyDescent="0.25">
      <c r="A41" s="20" t="s">
        <v>216</v>
      </c>
      <c r="B41" s="4" t="s">
        <v>93</v>
      </c>
      <c r="C41" s="4" t="s">
        <v>226</v>
      </c>
      <c r="D41" s="25">
        <v>175</v>
      </c>
      <c r="E41" s="26">
        <v>114.161251485348</v>
      </c>
    </row>
    <row r="42" spans="1:5" x14ac:dyDescent="0.25">
      <c r="A42" s="20" t="s">
        <v>126</v>
      </c>
      <c r="B42" s="4" t="s">
        <v>93</v>
      </c>
      <c r="C42" s="4" t="s">
        <v>92</v>
      </c>
      <c r="D42" s="25">
        <v>147.5</v>
      </c>
      <c r="E42" s="26">
        <v>111.812378615141</v>
      </c>
    </row>
    <row r="44" spans="1:5" ht="14.4" x14ac:dyDescent="0.3">
      <c r="A44" s="21"/>
      <c r="B44" s="22" t="s">
        <v>38</v>
      </c>
    </row>
    <row r="45" spans="1:5" ht="13.8" x14ac:dyDescent="0.25">
      <c r="A45" s="23" t="s">
        <v>39</v>
      </c>
      <c r="B45" s="23" t="s">
        <v>40</v>
      </c>
      <c r="C45" s="23" t="s">
        <v>41</v>
      </c>
      <c r="D45" s="24" t="s">
        <v>165</v>
      </c>
      <c r="E45" s="23" t="s">
        <v>43</v>
      </c>
    </row>
    <row r="46" spans="1:5" x14ac:dyDescent="0.25">
      <c r="A46" s="20" t="s">
        <v>221</v>
      </c>
      <c r="B46" s="4" t="s">
        <v>227</v>
      </c>
      <c r="C46" s="4" t="s">
        <v>166</v>
      </c>
      <c r="D46" s="25">
        <v>270</v>
      </c>
      <c r="E46" s="26">
        <v>175.97866155982001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2:J12"/>
    <mergeCell ref="A15:J15"/>
    <mergeCell ref="K3:K4"/>
    <mergeCell ref="L3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33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29.10937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7.5546875" style="8" bestFit="1" customWidth="1"/>
    <col min="13" max="13" width="20.33203125" style="4" bestFit="1" customWidth="1"/>
    <col min="14" max="16384" width="9.109375" style="3"/>
  </cols>
  <sheetData>
    <row r="1" spans="1:13" s="2" customFormat="1" ht="28.95" customHeight="1" x14ac:dyDescent="0.25">
      <c r="A1" s="53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12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169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11" t="s">
        <v>171</v>
      </c>
      <c r="B6" s="11" t="s">
        <v>172</v>
      </c>
      <c r="C6" s="11" t="s">
        <v>173</v>
      </c>
      <c r="D6" s="12" t="str">
        <f>"1,1585"</f>
        <v>1,1585</v>
      </c>
      <c r="E6" s="11" t="s">
        <v>111</v>
      </c>
      <c r="F6" s="11" t="s">
        <v>112</v>
      </c>
      <c r="G6" s="13" t="s">
        <v>56</v>
      </c>
      <c r="H6" s="13" t="s">
        <v>57</v>
      </c>
      <c r="I6" s="14" t="s">
        <v>69</v>
      </c>
      <c r="J6" s="14"/>
      <c r="K6" s="15" t="str">
        <f>"45,0"</f>
        <v>45,0</v>
      </c>
      <c r="L6" s="16" t="str">
        <f>"52,1325"</f>
        <v>52,1325</v>
      </c>
      <c r="M6" s="11" t="s">
        <v>174</v>
      </c>
    </row>
    <row r="8" spans="1:13" ht="15.6" x14ac:dyDescent="0.3">
      <c r="A8" s="45" t="s">
        <v>98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5">
      <c r="A9" s="11" t="s">
        <v>176</v>
      </c>
      <c r="B9" s="11" t="s">
        <v>177</v>
      </c>
      <c r="C9" s="11" t="s">
        <v>178</v>
      </c>
      <c r="D9" s="12" t="str">
        <f>"1,0065"</f>
        <v>1,0065</v>
      </c>
      <c r="E9" s="11" t="s">
        <v>111</v>
      </c>
      <c r="F9" s="11" t="s">
        <v>112</v>
      </c>
      <c r="G9" s="13" t="s">
        <v>79</v>
      </c>
      <c r="H9" s="13" t="s">
        <v>179</v>
      </c>
      <c r="I9" s="13" t="s">
        <v>180</v>
      </c>
      <c r="J9" s="14"/>
      <c r="K9" s="15" t="str">
        <f>"57,5"</f>
        <v>57,5</v>
      </c>
      <c r="L9" s="16" t="str">
        <f>"57,8738"</f>
        <v>57,8738</v>
      </c>
      <c r="M9" s="11" t="s">
        <v>30</v>
      </c>
    </row>
    <row r="11" spans="1:13" ht="15.6" x14ac:dyDescent="0.3">
      <c r="A11" s="45" t="s">
        <v>98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x14ac:dyDescent="0.25">
      <c r="A12" s="11" t="s">
        <v>115</v>
      </c>
      <c r="B12" s="11" t="s">
        <v>116</v>
      </c>
      <c r="C12" s="11" t="s">
        <v>117</v>
      </c>
      <c r="D12" s="12" t="str">
        <f>"0,8328"</f>
        <v>0,8328</v>
      </c>
      <c r="E12" s="11" t="s">
        <v>19</v>
      </c>
      <c r="F12" s="11" t="s">
        <v>20</v>
      </c>
      <c r="G12" s="13" t="s">
        <v>106</v>
      </c>
      <c r="H12" s="13" t="s">
        <v>118</v>
      </c>
      <c r="I12" s="13" t="s">
        <v>54</v>
      </c>
      <c r="J12" s="14"/>
      <c r="K12" s="15" t="str">
        <f>"97,5"</f>
        <v>97,5</v>
      </c>
      <c r="L12" s="16" t="str">
        <f>"81,2029"</f>
        <v>81,2029</v>
      </c>
      <c r="M12" s="11" t="s">
        <v>61</v>
      </c>
    </row>
    <row r="14" spans="1:13" ht="15.6" x14ac:dyDescent="0.3">
      <c r="A14" s="45" t="s">
        <v>47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3" x14ac:dyDescent="0.25">
      <c r="A15" s="11" t="s">
        <v>182</v>
      </c>
      <c r="B15" s="11" t="s">
        <v>183</v>
      </c>
      <c r="C15" s="11" t="s">
        <v>184</v>
      </c>
      <c r="D15" s="12" t="str">
        <f>"0,7513"</f>
        <v>0,7513</v>
      </c>
      <c r="E15" s="11" t="s">
        <v>87</v>
      </c>
      <c r="F15" s="11" t="s">
        <v>20</v>
      </c>
      <c r="G15" s="13" t="s">
        <v>185</v>
      </c>
      <c r="H15" s="13" t="s">
        <v>186</v>
      </c>
      <c r="I15" s="13" t="s">
        <v>24</v>
      </c>
      <c r="J15" s="14"/>
      <c r="K15" s="15" t="str">
        <f>"130,0"</f>
        <v>130,0</v>
      </c>
      <c r="L15" s="16" t="str">
        <f>"97,6625"</f>
        <v>97,6625</v>
      </c>
      <c r="M15" s="11" t="s">
        <v>30</v>
      </c>
    </row>
    <row r="17" spans="1:13" ht="15.6" x14ac:dyDescent="0.3">
      <c r="A17" s="45" t="s">
        <v>62</v>
      </c>
      <c r="B17" s="46"/>
      <c r="C17" s="46"/>
      <c r="D17" s="46"/>
      <c r="E17" s="46"/>
      <c r="F17" s="46"/>
      <c r="G17" s="46"/>
      <c r="H17" s="46"/>
      <c r="I17" s="46"/>
      <c r="J17" s="46"/>
    </row>
    <row r="18" spans="1:13" x14ac:dyDescent="0.25">
      <c r="A18" s="27" t="s">
        <v>188</v>
      </c>
      <c r="B18" s="27" t="s">
        <v>189</v>
      </c>
      <c r="C18" s="27" t="s">
        <v>190</v>
      </c>
      <c r="D18" s="28" t="str">
        <f>"0,6998"</f>
        <v>0,6998</v>
      </c>
      <c r="E18" s="27" t="s">
        <v>87</v>
      </c>
      <c r="F18" s="27" t="s">
        <v>20</v>
      </c>
      <c r="G18" s="30" t="s">
        <v>80</v>
      </c>
      <c r="H18" s="30" t="s">
        <v>53</v>
      </c>
      <c r="I18" s="30" t="s">
        <v>118</v>
      </c>
      <c r="J18" s="29"/>
      <c r="K18" s="31" t="str">
        <f>"95,0"</f>
        <v>95,0</v>
      </c>
      <c r="L18" s="32" t="str">
        <f>"66,4763"</f>
        <v>66,4763</v>
      </c>
      <c r="M18" s="27" t="s">
        <v>191</v>
      </c>
    </row>
    <row r="19" spans="1:13" x14ac:dyDescent="0.25">
      <c r="A19" s="39" t="s">
        <v>193</v>
      </c>
      <c r="B19" s="39" t="s">
        <v>194</v>
      </c>
      <c r="C19" s="39" t="s">
        <v>195</v>
      </c>
      <c r="D19" s="40" t="str">
        <f>"0,6983"</f>
        <v>0,6983</v>
      </c>
      <c r="E19" s="39" t="s">
        <v>87</v>
      </c>
      <c r="F19" s="39" t="s">
        <v>196</v>
      </c>
      <c r="G19" s="41" t="s">
        <v>25</v>
      </c>
      <c r="H19" s="42" t="s">
        <v>25</v>
      </c>
      <c r="I19" s="41" t="s">
        <v>119</v>
      </c>
      <c r="J19" s="41"/>
      <c r="K19" s="43" t="str">
        <f>"140,0"</f>
        <v>140,0</v>
      </c>
      <c r="L19" s="44" t="str">
        <f>"97,7620"</f>
        <v>97,7620</v>
      </c>
      <c r="M19" s="39" t="s">
        <v>30</v>
      </c>
    </row>
    <row r="21" spans="1:13" ht="15.6" x14ac:dyDescent="0.3">
      <c r="A21" s="45" t="s">
        <v>14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3" x14ac:dyDescent="0.25">
      <c r="A22" s="11" t="s">
        <v>198</v>
      </c>
      <c r="B22" s="11" t="s">
        <v>199</v>
      </c>
      <c r="C22" s="11" t="s">
        <v>200</v>
      </c>
      <c r="D22" s="12" t="str">
        <f>"0,6247"</f>
        <v>0,6247</v>
      </c>
      <c r="E22" s="11" t="s">
        <v>87</v>
      </c>
      <c r="F22" s="11" t="s">
        <v>201</v>
      </c>
      <c r="G22" s="13" t="s">
        <v>202</v>
      </c>
      <c r="H22" s="13" t="s">
        <v>77</v>
      </c>
      <c r="I22" s="13" t="s">
        <v>53</v>
      </c>
      <c r="J22" s="14"/>
      <c r="K22" s="15" t="str">
        <f>"92,5"</f>
        <v>92,5</v>
      </c>
      <c r="L22" s="16" t="str">
        <f>"57,7801"</f>
        <v>57,7801</v>
      </c>
      <c r="M22" s="11" t="s">
        <v>30</v>
      </c>
    </row>
    <row r="24" spans="1:13" ht="15.6" x14ac:dyDescent="0.3">
      <c r="A24" s="45" t="s">
        <v>156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3" x14ac:dyDescent="0.25">
      <c r="A25" s="11" t="s">
        <v>204</v>
      </c>
      <c r="B25" s="11" t="s">
        <v>205</v>
      </c>
      <c r="C25" s="11" t="s">
        <v>206</v>
      </c>
      <c r="D25" s="12" t="str">
        <f>"0,5658"</f>
        <v>0,5658</v>
      </c>
      <c r="E25" s="11" t="s">
        <v>87</v>
      </c>
      <c r="F25" s="11" t="s">
        <v>20</v>
      </c>
      <c r="G25" s="13" t="s">
        <v>132</v>
      </c>
      <c r="H25" s="14" t="s">
        <v>88</v>
      </c>
      <c r="I25" s="13" t="s">
        <v>88</v>
      </c>
      <c r="J25" s="14"/>
      <c r="K25" s="15" t="str">
        <f>"170,0"</f>
        <v>170,0</v>
      </c>
      <c r="L25" s="16" t="str">
        <f>"96,1860"</f>
        <v>96,1860</v>
      </c>
      <c r="M25" s="11" t="s">
        <v>30</v>
      </c>
    </row>
    <row r="27" spans="1:13" ht="15" x14ac:dyDescent="0.25">
      <c r="E27" s="17" t="s">
        <v>31</v>
      </c>
    </row>
    <row r="28" spans="1:13" ht="15" x14ac:dyDescent="0.25">
      <c r="E28" s="17" t="s">
        <v>32</v>
      </c>
    </row>
    <row r="29" spans="1:13" ht="15" x14ac:dyDescent="0.25">
      <c r="E29" s="17" t="s">
        <v>33</v>
      </c>
    </row>
    <row r="30" spans="1:13" ht="15" x14ac:dyDescent="0.25">
      <c r="E30" s="17" t="s">
        <v>34</v>
      </c>
    </row>
    <row r="31" spans="1:13" ht="15" x14ac:dyDescent="0.25">
      <c r="E31" s="17" t="s">
        <v>34</v>
      </c>
    </row>
    <row r="32" spans="1:13" ht="15" x14ac:dyDescent="0.25">
      <c r="E32" s="17" t="s">
        <v>35</v>
      </c>
    </row>
    <row r="33" spans="1:5" ht="15" x14ac:dyDescent="0.25">
      <c r="E33" s="17"/>
    </row>
    <row r="35" spans="1:5" ht="17.399999999999999" x14ac:dyDescent="0.3">
      <c r="A35" s="18" t="s">
        <v>36</v>
      </c>
      <c r="B35" s="18"/>
    </row>
    <row r="36" spans="1:5" ht="15.6" x14ac:dyDescent="0.3">
      <c r="A36" s="19" t="s">
        <v>89</v>
      </c>
      <c r="B36" s="19"/>
    </row>
    <row r="37" spans="1:5" ht="14.4" x14ac:dyDescent="0.3">
      <c r="A37" s="21"/>
      <c r="B37" s="22" t="s">
        <v>90</v>
      </c>
    </row>
    <row r="38" spans="1:5" ht="13.8" x14ac:dyDescent="0.25">
      <c r="A38" s="23" t="s">
        <v>39</v>
      </c>
      <c r="B38" s="23" t="s">
        <v>40</v>
      </c>
      <c r="C38" s="23" t="s">
        <v>41</v>
      </c>
      <c r="D38" s="24" t="s">
        <v>165</v>
      </c>
      <c r="E38" s="23" t="s">
        <v>43</v>
      </c>
    </row>
    <row r="39" spans="1:5" x14ac:dyDescent="0.25">
      <c r="A39" s="20" t="s">
        <v>170</v>
      </c>
      <c r="B39" s="4" t="s">
        <v>91</v>
      </c>
      <c r="C39" s="4" t="s">
        <v>207</v>
      </c>
      <c r="D39" s="25">
        <v>45</v>
      </c>
      <c r="E39" s="26">
        <v>52.132498025894201</v>
      </c>
    </row>
    <row r="41" spans="1:5" ht="14.4" x14ac:dyDescent="0.3">
      <c r="A41" s="21"/>
      <c r="B41" s="22" t="s">
        <v>93</v>
      </c>
    </row>
    <row r="42" spans="1:5" ht="13.8" x14ac:dyDescent="0.25">
      <c r="A42" s="23" t="s">
        <v>39</v>
      </c>
      <c r="B42" s="23" t="s">
        <v>40</v>
      </c>
      <c r="C42" s="23" t="s">
        <v>41</v>
      </c>
      <c r="D42" s="24" t="s">
        <v>165</v>
      </c>
      <c r="E42" s="23" t="s">
        <v>43</v>
      </c>
    </row>
    <row r="43" spans="1:5" x14ac:dyDescent="0.25">
      <c r="A43" s="20" t="s">
        <v>175</v>
      </c>
      <c r="B43" s="4" t="s">
        <v>93</v>
      </c>
      <c r="C43" s="4" t="s">
        <v>120</v>
      </c>
      <c r="D43" s="25">
        <v>57.5</v>
      </c>
      <c r="E43" s="26">
        <v>57.873750329017597</v>
      </c>
    </row>
    <row r="46" spans="1:5" ht="15.6" x14ac:dyDescent="0.3">
      <c r="A46" s="19" t="s">
        <v>37</v>
      </c>
      <c r="B46" s="19"/>
    </row>
    <row r="47" spans="1:5" ht="14.4" x14ac:dyDescent="0.3">
      <c r="A47" s="21"/>
      <c r="B47" s="22" t="s">
        <v>95</v>
      </c>
    </row>
    <row r="48" spans="1:5" ht="13.8" x14ac:dyDescent="0.25">
      <c r="A48" s="23" t="s">
        <v>39</v>
      </c>
      <c r="B48" s="23" t="s">
        <v>40</v>
      </c>
      <c r="C48" s="23" t="s">
        <v>41</v>
      </c>
      <c r="D48" s="24" t="s">
        <v>165</v>
      </c>
      <c r="E48" s="23" t="s">
        <v>43</v>
      </c>
    </row>
    <row r="49" spans="1:5" x14ac:dyDescent="0.25">
      <c r="A49" s="20" t="s">
        <v>187</v>
      </c>
      <c r="B49" s="4" t="s">
        <v>96</v>
      </c>
      <c r="C49" s="4" t="s">
        <v>94</v>
      </c>
      <c r="D49" s="25">
        <v>95</v>
      </c>
      <c r="E49" s="26">
        <v>66.476250588893905</v>
      </c>
    </row>
    <row r="50" spans="1:5" x14ac:dyDescent="0.25">
      <c r="A50" s="20" t="s">
        <v>197</v>
      </c>
      <c r="B50" s="4" t="s">
        <v>96</v>
      </c>
      <c r="C50" s="4" t="s">
        <v>45</v>
      </c>
      <c r="D50" s="25">
        <v>92.5</v>
      </c>
      <c r="E50" s="26">
        <v>57.780125141143799</v>
      </c>
    </row>
    <row r="52" spans="1:5" ht="14.4" x14ac:dyDescent="0.3">
      <c r="A52" s="21"/>
      <c r="B52" s="22" t="s">
        <v>93</v>
      </c>
    </row>
    <row r="53" spans="1:5" ht="13.8" x14ac:dyDescent="0.25">
      <c r="A53" s="23" t="s">
        <v>39</v>
      </c>
      <c r="B53" s="23" t="s">
        <v>40</v>
      </c>
      <c r="C53" s="23" t="s">
        <v>41</v>
      </c>
      <c r="D53" s="24" t="s">
        <v>165</v>
      </c>
      <c r="E53" s="23" t="s">
        <v>43</v>
      </c>
    </row>
    <row r="54" spans="1:5" x14ac:dyDescent="0.25">
      <c r="A54" s="20" t="s">
        <v>192</v>
      </c>
      <c r="B54" s="4" t="s">
        <v>93</v>
      </c>
      <c r="C54" s="4" t="s">
        <v>94</v>
      </c>
      <c r="D54" s="25">
        <v>140</v>
      </c>
      <c r="E54" s="26">
        <v>97.762000560760498</v>
      </c>
    </row>
    <row r="55" spans="1:5" x14ac:dyDescent="0.25">
      <c r="A55" s="20" t="s">
        <v>181</v>
      </c>
      <c r="B55" s="4" t="s">
        <v>93</v>
      </c>
      <c r="C55" s="4" t="s">
        <v>92</v>
      </c>
      <c r="D55" s="25">
        <v>130</v>
      </c>
      <c r="E55" s="26">
        <v>97.662503719329806</v>
      </c>
    </row>
    <row r="57" spans="1:5" ht="14.4" x14ac:dyDescent="0.3">
      <c r="A57" s="21"/>
      <c r="B57" s="22" t="s">
        <v>122</v>
      </c>
    </row>
    <row r="58" spans="1:5" ht="13.8" x14ac:dyDescent="0.25">
      <c r="A58" s="23" t="s">
        <v>39</v>
      </c>
      <c r="B58" s="23" t="s">
        <v>40</v>
      </c>
      <c r="C58" s="23" t="s">
        <v>41</v>
      </c>
      <c r="D58" s="24" t="s">
        <v>165</v>
      </c>
      <c r="E58" s="23" t="s">
        <v>43</v>
      </c>
    </row>
    <row r="59" spans="1:5" x14ac:dyDescent="0.25">
      <c r="A59" s="20" t="s">
        <v>114</v>
      </c>
      <c r="B59" s="4" t="s">
        <v>123</v>
      </c>
      <c r="C59" s="4" t="s">
        <v>120</v>
      </c>
      <c r="D59" s="25">
        <v>97.5</v>
      </c>
      <c r="E59" s="26">
        <v>81.202872991561904</v>
      </c>
    </row>
    <row r="61" spans="1:5" ht="14.4" x14ac:dyDescent="0.3">
      <c r="A61" s="21"/>
      <c r="B61" s="22" t="s">
        <v>38</v>
      </c>
    </row>
    <row r="62" spans="1:5" ht="13.8" x14ac:dyDescent="0.25">
      <c r="A62" s="23" t="s">
        <v>39</v>
      </c>
      <c r="B62" s="23" t="s">
        <v>40</v>
      </c>
      <c r="C62" s="23" t="s">
        <v>41</v>
      </c>
      <c r="D62" s="24" t="s">
        <v>165</v>
      </c>
      <c r="E62" s="23" t="s">
        <v>43</v>
      </c>
    </row>
    <row r="63" spans="1:5" x14ac:dyDescent="0.25">
      <c r="A63" s="20" t="s">
        <v>203</v>
      </c>
      <c r="B63" s="4" t="s">
        <v>44</v>
      </c>
      <c r="C63" s="4" t="s">
        <v>167</v>
      </c>
      <c r="D63" s="25">
        <v>170</v>
      </c>
      <c r="E63" s="26">
        <v>96.186001896858201</v>
      </c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A24:J24"/>
    <mergeCell ref="K3:K4"/>
    <mergeCell ref="L3:L4"/>
    <mergeCell ref="M3:M4"/>
    <mergeCell ref="A5:J5"/>
    <mergeCell ref="A8:J8"/>
    <mergeCell ref="A11:J11"/>
    <mergeCell ref="A14:J14"/>
    <mergeCell ref="A17:J17"/>
    <mergeCell ref="A21:J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1.4414062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53" t="s">
        <v>125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12</v>
      </c>
      <c r="H3" s="63"/>
      <c r="I3" s="63"/>
      <c r="J3" s="63"/>
      <c r="K3" s="47" t="s">
        <v>124</v>
      </c>
      <c r="L3" s="47" t="s">
        <v>3</v>
      </c>
      <c r="M3" s="49" t="s">
        <v>2</v>
      </c>
    </row>
    <row r="4" spans="1:13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48"/>
      <c r="L4" s="48"/>
      <c r="M4" s="50"/>
    </row>
    <row r="5" spans="1:13" ht="15.6" x14ac:dyDescent="0.3">
      <c r="A5" s="51" t="s">
        <v>47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5">
      <c r="A6" s="11" t="s">
        <v>127</v>
      </c>
      <c r="B6" s="11" t="s">
        <v>128</v>
      </c>
      <c r="C6" s="11" t="s">
        <v>129</v>
      </c>
      <c r="D6" s="12" t="str">
        <f>"0,7581"</f>
        <v>0,7581</v>
      </c>
      <c r="E6" s="11" t="s">
        <v>87</v>
      </c>
      <c r="F6" s="11" t="s">
        <v>130</v>
      </c>
      <c r="G6" s="13" t="s">
        <v>131</v>
      </c>
      <c r="H6" s="14" t="s">
        <v>132</v>
      </c>
      <c r="I6" s="14"/>
      <c r="J6" s="14"/>
      <c r="K6" s="15" t="str">
        <f>"147,5"</f>
        <v>147,5</v>
      </c>
      <c r="L6" s="16" t="str">
        <f>"111,8124"</f>
        <v>111,8124</v>
      </c>
      <c r="M6" s="11" t="s">
        <v>30</v>
      </c>
    </row>
    <row r="8" spans="1:13" ht="15.6" x14ac:dyDescent="0.3">
      <c r="A8" s="45" t="s">
        <v>14</v>
      </c>
      <c r="B8" s="46"/>
      <c r="C8" s="46"/>
      <c r="D8" s="46"/>
      <c r="E8" s="46"/>
      <c r="F8" s="46"/>
      <c r="G8" s="46"/>
      <c r="H8" s="46"/>
      <c r="I8" s="46"/>
      <c r="J8" s="46"/>
    </row>
    <row r="9" spans="1:13" x14ac:dyDescent="0.25">
      <c r="A9" s="11" t="s">
        <v>134</v>
      </c>
      <c r="B9" s="11" t="s">
        <v>135</v>
      </c>
      <c r="C9" s="11" t="s">
        <v>136</v>
      </c>
      <c r="D9" s="12" t="str">
        <f>"0,6130"</f>
        <v>0,6130</v>
      </c>
      <c r="E9" s="11" t="s">
        <v>137</v>
      </c>
      <c r="F9" s="11" t="s">
        <v>130</v>
      </c>
      <c r="G9" s="13" t="s">
        <v>138</v>
      </c>
      <c r="H9" s="13" t="s">
        <v>139</v>
      </c>
      <c r="I9" s="14" t="s">
        <v>27</v>
      </c>
      <c r="J9" s="14"/>
      <c r="K9" s="15" t="str">
        <f>"215,0"</f>
        <v>215,0</v>
      </c>
      <c r="L9" s="16" t="str">
        <f>"131,7950"</f>
        <v>131,7950</v>
      </c>
      <c r="M9" s="11" t="s">
        <v>30</v>
      </c>
    </row>
    <row r="11" spans="1:13" ht="15.6" x14ac:dyDescent="0.3">
      <c r="A11" s="45" t="s">
        <v>140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3" x14ac:dyDescent="0.25">
      <c r="A12" s="27" t="s">
        <v>142</v>
      </c>
      <c r="B12" s="27" t="s">
        <v>143</v>
      </c>
      <c r="C12" s="27" t="s">
        <v>144</v>
      </c>
      <c r="D12" s="28" t="str">
        <f>"0,5823"</f>
        <v>0,5823</v>
      </c>
      <c r="E12" s="27" t="s">
        <v>111</v>
      </c>
      <c r="F12" s="27" t="s">
        <v>112</v>
      </c>
      <c r="G12" s="30" t="s">
        <v>145</v>
      </c>
      <c r="H12" s="29" t="s">
        <v>146</v>
      </c>
      <c r="I12" s="29" t="s">
        <v>146</v>
      </c>
      <c r="J12" s="29"/>
      <c r="K12" s="31" t="str">
        <f>"290,0"</f>
        <v>290,0</v>
      </c>
      <c r="L12" s="32" t="str">
        <f>"168,8670"</f>
        <v>168,8670</v>
      </c>
      <c r="M12" s="27" t="s">
        <v>30</v>
      </c>
    </row>
    <row r="13" spans="1:13" x14ac:dyDescent="0.25">
      <c r="A13" s="33" t="s">
        <v>148</v>
      </c>
      <c r="B13" s="33" t="s">
        <v>149</v>
      </c>
      <c r="C13" s="33" t="s">
        <v>150</v>
      </c>
      <c r="D13" s="34" t="str">
        <f>"0,5846"</f>
        <v>0,5846</v>
      </c>
      <c r="E13" s="33" t="s">
        <v>137</v>
      </c>
      <c r="F13" s="33" t="s">
        <v>130</v>
      </c>
      <c r="G13" s="36" t="s">
        <v>151</v>
      </c>
      <c r="H13" s="35" t="s">
        <v>152</v>
      </c>
      <c r="I13" s="35" t="s">
        <v>145</v>
      </c>
      <c r="J13" s="35"/>
      <c r="K13" s="37" t="str">
        <f>"270,0"</f>
        <v>270,0</v>
      </c>
      <c r="L13" s="38" t="str">
        <f>"157,8285"</f>
        <v>157,8285</v>
      </c>
      <c r="M13" s="33" t="s">
        <v>30</v>
      </c>
    </row>
    <row r="14" spans="1:13" x14ac:dyDescent="0.25">
      <c r="A14" s="39" t="s">
        <v>153</v>
      </c>
      <c r="B14" s="39" t="s">
        <v>154</v>
      </c>
      <c r="C14" s="39" t="s">
        <v>155</v>
      </c>
      <c r="D14" s="40" t="str">
        <f>"0,5840"</f>
        <v>0,5840</v>
      </c>
      <c r="E14" s="39" t="s">
        <v>137</v>
      </c>
      <c r="F14" s="39" t="s">
        <v>130</v>
      </c>
      <c r="G14" s="41" t="s">
        <v>28</v>
      </c>
      <c r="H14" s="41" t="s">
        <v>28</v>
      </c>
      <c r="I14" s="41" t="s">
        <v>28</v>
      </c>
      <c r="J14" s="41"/>
      <c r="K14" s="43" t="str">
        <f>"0.00"</f>
        <v>0.00</v>
      </c>
      <c r="L14" s="44" t="str">
        <f>"0,0000"</f>
        <v>0,0000</v>
      </c>
      <c r="M14" s="39" t="s">
        <v>30</v>
      </c>
    </row>
    <row r="16" spans="1:13" ht="15.6" x14ac:dyDescent="0.3">
      <c r="A16" s="45" t="s">
        <v>156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3" x14ac:dyDescent="0.25">
      <c r="A17" s="27" t="s">
        <v>157</v>
      </c>
      <c r="B17" s="27" t="s">
        <v>158</v>
      </c>
      <c r="C17" s="27" t="s">
        <v>159</v>
      </c>
      <c r="D17" s="28" t="str">
        <f>"0,5640"</f>
        <v>0,5640</v>
      </c>
      <c r="E17" s="27" t="s">
        <v>137</v>
      </c>
      <c r="F17" s="27" t="s">
        <v>130</v>
      </c>
      <c r="G17" s="29" t="s">
        <v>160</v>
      </c>
      <c r="H17" s="29" t="s">
        <v>160</v>
      </c>
      <c r="I17" s="29" t="s">
        <v>160</v>
      </c>
      <c r="J17" s="29"/>
      <c r="K17" s="31" t="str">
        <f>"0.00"</f>
        <v>0.00</v>
      </c>
      <c r="L17" s="32" t="str">
        <f>"0,0000"</f>
        <v>0,0000</v>
      </c>
      <c r="M17" s="27" t="s">
        <v>30</v>
      </c>
    </row>
    <row r="18" spans="1:13" x14ac:dyDescent="0.25">
      <c r="A18" s="39" t="s">
        <v>162</v>
      </c>
      <c r="B18" s="39" t="s">
        <v>163</v>
      </c>
      <c r="C18" s="39" t="s">
        <v>159</v>
      </c>
      <c r="D18" s="40" t="str">
        <f>"0,5640"</f>
        <v>0,5640</v>
      </c>
      <c r="E18" s="39" t="s">
        <v>137</v>
      </c>
      <c r="F18" s="39" t="s">
        <v>130</v>
      </c>
      <c r="G18" s="41" t="s">
        <v>160</v>
      </c>
      <c r="H18" s="42" t="s">
        <v>160</v>
      </c>
      <c r="I18" s="41" t="s">
        <v>164</v>
      </c>
      <c r="J18" s="41"/>
      <c r="K18" s="43" t="str">
        <f>"332,5"</f>
        <v>332,5</v>
      </c>
      <c r="L18" s="44" t="str">
        <f>"195,5765"</f>
        <v>195,5765</v>
      </c>
      <c r="M18" s="39" t="s">
        <v>30</v>
      </c>
    </row>
    <row r="20" spans="1:13" ht="15" x14ac:dyDescent="0.25">
      <c r="E20" s="17" t="s">
        <v>31</v>
      </c>
    </row>
    <row r="21" spans="1:13" ht="15" x14ac:dyDescent="0.25">
      <c r="E21" s="17" t="s">
        <v>32</v>
      </c>
    </row>
    <row r="22" spans="1:13" ht="15" x14ac:dyDescent="0.25">
      <c r="E22" s="17" t="s">
        <v>33</v>
      </c>
    </row>
    <row r="23" spans="1:13" ht="15" x14ac:dyDescent="0.25">
      <c r="E23" s="17" t="s">
        <v>34</v>
      </c>
    </row>
    <row r="24" spans="1:13" ht="15" x14ac:dyDescent="0.25">
      <c r="E24" s="17" t="s">
        <v>34</v>
      </c>
    </row>
    <row r="25" spans="1:13" ht="15" x14ac:dyDescent="0.25">
      <c r="E25" s="17" t="s">
        <v>35</v>
      </c>
    </row>
    <row r="26" spans="1:13" ht="15" x14ac:dyDescent="0.25">
      <c r="E26" s="17"/>
    </row>
    <row r="28" spans="1:13" ht="17.399999999999999" x14ac:dyDescent="0.3">
      <c r="A28" s="18" t="s">
        <v>36</v>
      </c>
      <c r="B28" s="18"/>
    </row>
    <row r="29" spans="1:13" ht="15.6" x14ac:dyDescent="0.3">
      <c r="A29" s="19" t="s">
        <v>37</v>
      </c>
      <c r="B29" s="19"/>
    </row>
    <row r="30" spans="1:13" ht="14.4" x14ac:dyDescent="0.3">
      <c r="A30" s="21"/>
      <c r="B30" s="22" t="s">
        <v>93</v>
      </c>
    </row>
    <row r="31" spans="1:13" ht="13.8" x14ac:dyDescent="0.25">
      <c r="A31" s="23" t="s">
        <v>39</v>
      </c>
      <c r="B31" s="23" t="s">
        <v>40</v>
      </c>
      <c r="C31" s="23" t="s">
        <v>41</v>
      </c>
      <c r="D31" s="24" t="s">
        <v>165</v>
      </c>
      <c r="E31" s="23" t="s">
        <v>43</v>
      </c>
    </row>
    <row r="32" spans="1:13" x14ac:dyDescent="0.25">
      <c r="A32" s="20" t="s">
        <v>141</v>
      </c>
      <c r="B32" s="4" t="s">
        <v>93</v>
      </c>
      <c r="C32" s="4" t="s">
        <v>166</v>
      </c>
      <c r="D32" s="25">
        <v>290</v>
      </c>
      <c r="E32" s="26">
        <v>168.867002129555</v>
      </c>
    </row>
    <row r="33" spans="1:5" x14ac:dyDescent="0.25">
      <c r="A33" s="20" t="s">
        <v>147</v>
      </c>
      <c r="B33" s="4" t="s">
        <v>93</v>
      </c>
      <c r="C33" s="4" t="s">
        <v>166</v>
      </c>
      <c r="D33" s="25">
        <v>270</v>
      </c>
      <c r="E33" s="26">
        <v>157.82850623130801</v>
      </c>
    </row>
    <row r="34" spans="1:5" x14ac:dyDescent="0.25">
      <c r="A34" s="20" t="s">
        <v>133</v>
      </c>
      <c r="B34" s="4" t="s">
        <v>93</v>
      </c>
      <c r="C34" s="4" t="s">
        <v>45</v>
      </c>
      <c r="D34" s="25">
        <v>215</v>
      </c>
      <c r="E34" s="26">
        <v>131.79499477148099</v>
      </c>
    </row>
    <row r="35" spans="1:5" x14ac:dyDescent="0.25">
      <c r="A35" s="20" t="s">
        <v>126</v>
      </c>
      <c r="B35" s="4" t="s">
        <v>93</v>
      </c>
      <c r="C35" s="4" t="s">
        <v>92</v>
      </c>
      <c r="D35" s="25">
        <v>147.5</v>
      </c>
      <c r="E35" s="26">
        <v>111.812378615141</v>
      </c>
    </row>
    <row r="37" spans="1:5" ht="14.4" x14ac:dyDescent="0.3">
      <c r="A37" s="21"/>
      <c r="B37" s="22" t="s">
        <v>38</v>
      </c>
    </row>
    <row r="38" spans="1:5" ht="13.8" x14ac:dyDescent="0.25">
      <c r="A38" s="23" t="s">
        <v>39</v>
      </c>
      <c r="B38" s="23" t="s">
        <v>40</v>
      </c>
      <c r="C38" s="23" t="s">
        <v>41</v>
      </c>
      <c r="D38" s="24" t="s">
        <v>165</v>
      </c>
      <c r="E38" s="23" t="s">
        <v>43</v>
      </c>
    </row>
    <row r="39" spans="1:5" x14ac:dyDescent="0.25">
      <c r="A39" s="20" t="s">
        <v>161</v>
      </c>
      <c r="B39" s="4" t="s">
        <v>44</v>
      </c>
      <c r="C39" s="4" t="s">
        <v>167</v>
      </c>
      <c r="D39" s="25">
        <v>332.5</v>
      </c>
      <c r="E39" s="26">
        <v>195.57645088568299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6:J16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33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29.109375" style="4" bestFit="1" customWidth="1"/>
    <col min="7" max="7" width="4.5546875" style="3" customWidth="1"/>
    <col min="8" max="9" width="5.5546875" style="3" customWidth="1"/>
    <col min="10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12.6640625" style="4" bestFit="1" customWidth="1"/>
    <col min="22" max="16384" width="9.109375" style="3"/>
  </cols>
  <sheetData>
    <row r="1" spans="1:21" s="2" customFormat="1" ht="28.95" customHeight="1" x14ac:dyDescent="0.25">
      <c r="A1" s="53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1.95" customHeight="1" thickBot="1" x14ac:dyDescent="0.3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1:21" s="1" customFormat="1" ht="12.75" customHeight="1" x14ac:dyDescent="0.25">
      <c r="A3" s="59" t="s">
        <v>0</v>
      </c>
      <c r="B3" s="61" t="s">
        <v>6</v>
      </c>
      <c r="C3" s="61" t="s">
        <v>8</v>
      </c>
      <c r="D3" s="47" t="s">
        <v>10</v>
      </c>
      <c r="E3" s="63" t="s">
        <v>4</v>
      </c>
      <c r="F3" s="63" t="s">
        <v>7</v>
      </c>
      <c r="G3" s="63" t="s">
        <v>11</v>
      </c>
      <c r="H3" s="63"/>
      <c r="I3" s="63"/>
      <c r="J3" s="63"/>
      <c r="K3" s="63" t="s">
        <v>12</v>
      </c>
      <c r="L3" s="63"/>
      <c r="M3" s="63"/>
      <c r="N3" s="63"/>
      <c r="O3" s="63" t="s">
        <v>13</v>
      </c>
      <c r="P3" s="63"/>
      <c r="Q3" s="63"/>
      <c r="R3" s="63"/>
      <c r="S3" s="47" t="s">
        <v>1</v>
      </c>
      <c r="T3" s="47" t="s">
        <v>3</v>
      </c>
      <c r="U3" s="49" t="s">
        <v>2</v>
      </c>
    </row>
    <row r="4" spans="1:21" s="1" customFormat="1" ht="21" customHeight="1" thickBot="1" x14ac:dyDescent="0.3">
      <c r="A4" s="60"/>
      <c r="B4" s="62"/>
      <c r="C4" s="62"/>
      <c r="D4" s="48"/>
      <c r="E4" s="62"/>
      <c r="F4" s="62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48"/>
      <c r="T4" s="48"/>
      <c r="U4" s="50"/>
    </row>
    <row r="5" spans="1:21" ht="15.6" x14ac:dyDescent="0.3">
      <c r="A5" s="51" t="s">
        <v>98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21" x14ac:dyDescent="0.25">
      <c r="A6" s="11" t="s">
        <v>100</v>
      </c>
      <c r="B6" s="11" t="s">
        <v>101</v>
      </c>
      <c r="C6" s="11" t="s">
        <v>102</v>
      </c>
      <c r="D6" s="12" t="str">
        <f>"0,9942"</f>
        <v>0,9942</v>
      </c>
      <c r="E6" s="11" t="s">
        <v>19</v>
      </c>
      <c r="F6" s="11" t="s">
        <v>20</v>
      </c>
      <c r="G6" s="13" t="s">
        <v>103</v>
      </c>
      <c r="H6" s="13" t="s">
        <v>104</v>
      </c>
      <c r="I6" s="13" t="s">
        <v>76</v>
      </c>
      <c r="J6" s="14"/>
      <c r="K6" s="13" t="s">
        <v>105</v>
      </c>
      <c r="L6" s="13" t="s">
        <v>56</v>
      </c>
      <c r="M6" s="13" t="s">
        <v>57</v>
      </c>
      <c r="N6" s="14"/>
      <c r="O6" s="13" t="s">
        <v>78</v>
      </c>
      <c r="P6" s="13" t="s">
        <v>106</v>
      </c>
      <c r="Q6" s="13" t="s">
        <v>54</v>
      </c>
      <c r="R6" s="14"/>
      <c r="S6" s="15" t="str">
        <f>"215,0"</f>
        <v>215,0</v>
      </c>
      <c r="T6" s="16" t="str">
        <f>"213,7637"</f>
        <v>213,7637</v>
      </c>
      <c r="U6" s="11" t="s">
        <v>61</v>
      </c>
    </row>
    <row r="8" spans="1:21" ht="15.6" x14ac:dyDescent="0.3">
      <c r="A8" s="45" t="s">
        <v>62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21" x14ac:dyDescent="0.25">
      <c r="A9" s="11" t="s">
        <v>108</v>
      </c>
      <c r="B9" s="11" t="s">
        <v>109</v>
      </c>
      <c r="C9" s="11" t="s">
        <v>110</v>
      </c>
      <c r="D9" s="12" t="str">
        <f>"0,8499"</f>
        <v>0,8499</v>
      </c>
      <c r="E9" s="11" t="s">
        <v>111</v>
      </c>
      <c r="F9" s="11" t="s">
        <v>112</v>
      </c>
      <c r="G9" s="13" t="s">
        <v>113</v>
      </c>
      <c r="H9" s="13" t="s">
        <v>53</v>
      </c>
      <c r="I9" s="13" t="s">
        <v>70</v>
      </c>
      <c r="J9" s="14"/>
      <c r="K9" s="13" t="s">
        <v>55</v>
      </c>
      <c r="L9" s="13" t="s">
        <v>57</v>
      </c>
      <c r="M9" s="13" t="s">
        <v>69</v>
      </c>
      <c r="N9" s="14"/>
      <c r="O9" s="13" t="s">
        <v>106</v>
      </c>
      <c r="P9" s="13" t="s">
        <v>70</v>
      </c>
      <c r="Q9" s="13" t="s">
        <v>71</v>
      </c>
      <c r="R9" s="14"/>
      <c r="S9" s="15" t="str">
        <f>"260,0"</f>
        <v>260,0</v>
      </c>
      <c r="T9" s="16" t="str">
        <f>"253,4572"</f>
        <v>253,4572</v>
      </c>
      <c r="U9" s="11" t="s">
        <v>30</v>
      </c>
    </row>
    <row r="11" spans="1:21" ht="15.6" x14ac:dyDescent="0.3">
      <c r="A11" s="45" t="s">
        <v>98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21" x14ac:dyDescent="0.25">
      <c r="A12" s="11" t="s">
        <v>115</v>
      </c>
      <c r="B12" s="11" t="s">
        <v>116</v>
      </c>
      <c r="C12" s="11" t="s">
        <v>117</v>
      </c>
      <c r="D12" s="12" t="str">
        <f>"0,8328"</f>
        <v>0,8328</v>
      </c>
      <c r="E12" s="11" t="s">
        <v>19</v>
      </c>
      <c r="F12" s="11" t="s">
        <v>20</v>
      </c>
      <c r="G12" s="13" t="s">
        <v>118</v>
      </c>
      <c r="H12" s="13" t="s">
        <v>70</v>
      </c>
      <c r="I12" s="13" t="s">
        <v>81</v>
      </c>
      <c r="J12" s="14"/>
      <c r="K12" s="13" t="s">
        <v>106</v>
      </c>
      <c r="L12" s="13" t="s">
        <v>118</v>
      </c>
      <c r="M12" s="13" t="s">
        <v>54</v>
      </c>
      <c r="N12" s="14"/>
      <c r="O12" s="13" t="s">
        <v>24</v>
      </c>
      <c r="P12" s="13" t="s">
        <v>25</v>
      </c>
      <c r="Q12" s="13" t="s">
        <v>119</v>
      </c>
      <c r="R12" s="14"/>
      <c r="S12" s="15" t="str">
        <f>"352,5"</f>
        <v>352,5</v>
      </c>
      <c r="T12" s="16" t="str">
        <f>"293,5796"</f>
        <v>293,5796</v>
      </c>
      <c r="U12" s="11" t="s">
        <v>61</v>
      </c>
    </row>
    <row r="14" spans="1:21" ht="15" x14ac:dyDescent="0.25">
      <c r="E14" s="17" t="s">
        <v>31</v>
      </c>
    </row>
    <row r="15" spans="1:21" ht="15" x14ac:dyDescent="0.25">
      <c r="E15" s="17" t="s">
        <v>32</v>
      </c>
    </row>
    <row r="16" spans="1:21" ht="15" x14ac:dyDescent="0.25">
      <c r="E16" s="17" t="s">
        <v>33</v>
      </c>
    </row>
    <row r="17" spans="1:5" ht="15" x14ac:dyDescent="0.25">
      <c r="E17" s="17" t="s">
        <v>34</v>
      </c>
    </row>
    <row r="18" spans="1:5" ht="15" x14ac:dyDescent="0.25">
      <c r="E18" s="17" t="s">
        <v>34</v>
      </c>
    </row>
    <row r="19" spans="1:5" ht="15" x14ac:dyDescent="0.25">
      <c r="E19" s="17" t="s">
        <v>35</v>
      </c>
    </row>
    <row r="20" spans="1:5" ht="15" x14ac:dyDescent="0.25">
      <c r="E20" s="17"/>
    </row>
    <row r="22" spans="1:5" ht="17.399999999999999" x14ac:dyDescent="0.3">
      <c r="A22" s="18" t="s">
        <v>36</v>
      </c>
      <c r="B22" s="18"/>
    </row>
    <row r="23" spans="1:5" ht="15.6" x14ac:dyDescent="0.3">
      <c r="A23" s="19" t="s">
        <v>89</v>
      </c>
      <c r="B23" s="19"/>
    </row>
    <row r="24" spans="1:5" ht="14.4" x14ac:dyDescent="0.3">
      <c r="A24" s="21"/>
      <c r="B24" s="22" t="s">
        <v>93</v>
      </c>
    </row>
    <row r="25" spans="1:5" ht="13.8" x14ac:dyDescent="0.25">
      <c r="A25" s="23" t="s">
        <v>39</v>
      </c>
      <c r="B25" s="23" t="s">
        <v>40</v>
      </c>
      <c r="C25" s="23" t="s">
        <v>41</v>
      </c>
      <c r="D25" s="24" t="s">
        <v>42</v>
      </c>
      <c r="E25" s="23" t="s">
        <v>43</v>
      </c>
    </row>
    <row r="26" spans="1:5" x14ac:dyDescent="0.25">
      <c r="A26" s="20" t="s">
        <v>99</v>
      </c>
      <c r="B26" s="4" t="s">
        <v>93</v>
      </c>
      <c r="C26" s="4" t="s">
        <v>120</v>
      </c>
      <c r="D26" s="25">
        <v>215</v>
      </c>
      <c r="E26" s="26">
        <v>213.76374989748001</v>
      </c>
    </row>
    <row r="28" spans="1:5" ht="14.4" x14ac:dyDescent="0.3">
      <c r="A28" s="21"/>
      <c r="B28" s="22" t="s">
        <v>38</v>
      </c>
    </row>
    <row r="29" spans="1:5" ht="13.8" x14ac:dyDescent="0.25">
      <c r="A29" s="23" t="s">
        <v>39</v>
      </c>
      <c r="B29" s="23" t="s">
        <v>40</v>
      </c>
      <c r="C29" s="23" t="s">
        <v>41</v>
      </c>
      <c r="D29" s="24" t="s">
        <v>42</v>
      </c>
      <c r="E29" s="23" t="s">
        <v>43</v>
      </c>
    </row>
    <row r="30" spans="1:5" x14ac:dyDescent="0.25">
      <c r="A30" s="20" t="s">
        <v>107</v>
      </c>
      <c r="B30" s="4" t="s">
        <v>121</v>
      </c>
      <c r="C30" s="4" t="s">
        <v>94</v>
      </c>
      <c r="D30" s="25">
        <v>260</v>
      </c>
      <c r="E30" s="26">
        <v>253.457180161476</v>
      </c>
    </row>
    <row r="33" spans="1:5" ht="15.6" x14ac:dyDescent="0.3">
      <c r="A33" s="19" t="s">
        <v>37</v>
      </c>
      <c r="B33" s="19"/>
    </row>
    <row r="34" spans="1:5" ht="14.4" x14ac:dyDescent="0.3">
      <c r="A34" s="21"/>
      <c r="B34" s="22" t="s">
        <v>122</v>
      </c>
    </row>
    <row r="35" spans="1:5" ht="13.8" x14ac:dyDescent="0.25">
      <c r="A35" s="23" t="s">
        <v>39</v>
      </c>
      <c r="B35" s="23" t="s">
        <v>40</v>
      </c>
      <c r="C35" s="23" t="s">
        <v>41</v>
      </c>
      <c r="D35" s="24" t="s">
        <v>42</v>
      </c>
      <c r="E35" s="23" t="s">
        <v>43</v>
      </c>
    </row>
    <row r="36" spans="1:5" x14ac:dyDescent="0.25">
      <c r="A36" s="20" t="s">
        <v>114</v>
      </c>
      <c r="B36" s="4" t="s">
        <v>123</v>
      </c>
      <c r="C36" s="4" t="s">
        <v>120</v>
      </c>
      <c r="D36" s="25">
        <v>352.5</v>
      </c>
      <c r="E36" s="26">
        <v>293.57961773872398</v>
      </c>
    </row>
  </sheetData>
  <mergeCells count="16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8:R8"/>
    <mergeCell ref="A11:R11"/>
    <mergeCell ref="S3:S4"/>
    <mergeCell ref="T3:T4"/>
    <mergeCell ref="U3:U4"/>
    <mergeCell ref="A5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HUB</vt:lpstr>
      <vt:lpstr>IPС-A Двоеборье б.э.</vt:lpstr>
      <vt:lpstr>IPC-A Подъем на бицепс</vt:lpstr>
      <vt:lpstr>IPC Подъем на бицепс</vt:lpstr>
      <vt:lpstr>IPC Тяга без экипировки</vt:lpstr>
      <vt:lpstr>IPC-A Жим софт стандарт</vt:lpstr>
      <vt:lpstr>IPC-A Жим лежа без экип</vt:lpstr>
      <vt:lpstr>IPC Жим софт стандарт</vt:lpstr>
      <vt:lpstr>IPC-A ПЛ без экипировки</vt:lpstr>
      <vt:lpstr>IPC-A Клас. ПЛ</vt:lpstr>
      <vt:lpstr>IPC Клас. ПЛ</vt:lpstr>
      <vt:lpstr>IPC-A Тяга без экипировки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2015-07-16T19:10:53Z</cp:lastPrinted>
  <dcterms:created xsi:type="dcterms:W3CDTF">2002-06-16T13:36:44Z</dcterms:created>
  <dcterms:modified xsi:type="dcterms:W3CDTF">2023-03-25T13:04:45Z</dcterms:modified>
</cp:coreProperties>
</file>